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drawings/drawing2.xml" ContentType="application/vnd.openxmlformats-officedocument.drawing+xml"/>
  <Override PartName="/xl/worksheets/sheet5.xml" ContentType="application/vnd.openxmlformats-officedocument.spreadsheetml.worksheet+xml"/>
  <Override PartName="/xl/drawings/drawing3.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drawings/drawing4.xml" ContentType="application/vnd.openxmlformats-officedocument.drawing+xml"/>
  <Override PartName="/xl/worksheets/sheet9.xml" ContentType="application/vnd.openxmlformats-officedocument.spreadsheetml.worksheet+xml"/>
  <Override PartName="/xl/drawings/drawing5.xml" ContentType="application/vnd.openxmlformats-officedocument.drawing+xml"/>
  <Override PartName="/xl/worksheets/sheet10.xml" ContentType="application/vnd.openxmlformats-officedocument.spreadsheetml.worksheet+xml"/>
  <Override PartName="/xl/worksheets/sheet11.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sheetId="1" state="visible" r:id="rId1"/>
    <sheet xmlns:r="http://schemas.openxmlformats.org/officeDocument/2006/relationships" name="Control Panel" sheetId="2" state="visible" r:id="rId2"/>
    <sheet xmlns:r="http://schemas.openxmlformats.org/officeDocument/2006/relationships" name="Switchboard" sheetId="3" state="visible" r:id="rId3"/>
    <sheet xmlns:r="http://schemas.openxmlformats.org/officeDocument/2006/relationships" name="Scale" sheetId="4" state="visible" r:id="rId4"/>
    <sheet xmlns:r="http://schemas.openxmlformats.org/officeDocument/2006/relationships" name="Store P&amp;L" sheetId="5" state="visible" r:id="rId5"/>
    <sheet xmlns:r="http://schemas.openxmlformats.org/officeDocument/2006/relationships" name="Melbourne" sheetId="6" state="visible" r:id="rId6"/>
    <sheet xmlns:r="http://schemas.openxmlformats.org/officeDocument/2006/relationships" name="Rollout" sheetId="7" state="visible" r:id="rId7"/>
    <sheet xmlns:r="http://schemas.openxmlformats.org/officeDocument/2006/relationships" name="Program" sheetId="8" state="visible" r:id="rId8"/>
    <sheet xmlns:r="http://schemas.openxmlformats.org/officeDocument/2006/relationships" name="Compare" sheetId="9" state="visible" r:id="rId9"/>
    <sheet xmlns:r="http://schemas.openxmlformats.org/officeDocument/2006/relationships" name="Notes" sheetId="10" state="visible" r:id="rId10"/>
    <sheet xmlns:r="http://schemas.openxmlformats.org/officeDocument/2006/relationships" name="Lists" sheetId="11" state="hidden" r:id="rId11"/>
  </sheets>
  <definedNames>
    <definedName name="TierCodes">Lists!$A$2:$A$4</definedName>
    <definedName name="TierNames">Lists!$B$2:$B$4</definedName>
    <definedName name="RecipeList">Lists!$C$2:$C$4</definedName>
    <definedName name="RecipeLetters">Lists!$D$2:$D$4</definedName>
    <definedName name="OutlookList">Lists!$E$2:$E$4</definedName>
    <definedName name="OnOff">Lists!$F$2:$F$3</definedName>
    <definedName name="YesNo">Lists!$G$2:$G$3</definedName>
    <definedName name="MixList">Lists!$H$2:$H$5</definedName>
    <definedName name="StreetList">Lists!$I$2:$I$3</definedName>
    <definedName name="DealList">Lists!$J$2:$J$3</definedName>
    <definedName name="UnitList">Lists!$K$2:$K$3</definedName>
    <definedName name="CodeList">Lists!$L$2:$L$8</definedName>
    <definedName name="BucketList">Lists!$M$2:$M$5</definedName>
    <definedName name="Recipe_SPLUS">'Control Panel'!$C$6</definedName>
    <definedName name="Area_SPLUS">'Control Panel'!$D$6</definedName>
    <definedName name="Recipe_S">'Control Panel'!$C$7</definedName>
    <definedName name="Area_S">'Control Panel'!$D$7</definedName>
    <definedName name="Recipe_D">'Control Panel'!$C$8</definedName>
    <definedName name="Area_D">'Control Panel'!$D$8</definedName>
    <definedName name="Area">'Control Panel'!$D$6:$D$8</definedName>
    <definedName name="Outlook">'Control Panel'!$C$11</definedName>
    <definedName name="LR_Call">'Control Panel'!$C$13</definedName>
    <definedName name="LearnRate">'Control Panel'!$D$13</definedName>
    <definedName name="LFloor_Call">'Control Panel'!$C$14</definedName>
    <definedName name="LearnFloor">'Control Panel'!$D$14</definedName>
    <definedName name="LShare_Call">'Control Panel'!$C$15</definedName>
    <definedName name="LearnShared">'Control Panel'!$D$15</definedName>
    <definedName name="BigBreak_Call">'Control Panel'!$C$16</definedName>
    <definedName name="BigBreak">'Control Panel'!$D$16</definedName>
    <definedName name="LicDisc_Call">'Control Panel'!$C$17</definedName>
    <definedName name="LicDisc">'Control Panel'!$D$17</definedName>
    <definedName name="Deal">'Control Panel'!$C$18</definedName>
    <definedName name="Openings">'Control Panel'!$C$22:$C$29</definedName>
    <definedName name="CumOpenings">'Control Panel'!$D$22:$D$29</definedName>
    <definedName name="PlanStores">'Control Panel'!$C$30</definedName>
    <definedName name="FlagshipFirst">'Control Panel'!$C$31</definedName>
    <definedName name="MixSource">'Control Panel'!$C$32</definedName>
    <definedName name="OwnMix_SPLUS">'Control Panel'!$C$33</definedName>
    <definedName name="OwnMix_S">'Control Panel'!$C$34</definedName>
    <definedName name="OwnMix_D">'Control Panel'!$C$35</definedName>
    <definedName name="StreetChoice">'Control Panel'!$C$37</definedName>
    <definedName name="Ticket">'Control Panel'!$C$41</definedName>
    <definedName name="Conversion">'Control Panel'!$C$42</definedName>
    <definedName name="Capture">'Control Panel'!$C$43</definedName>
    <definedName name="PaybackYears">'Control Panel'!$C$44</definedName>
    <definedName name="DashMargin">'Control Panel'!$C$45</definedName>
    <definedName name="GrossMargin">'Control Panel'!$C$46</definedName>
    <definedName name="Ramp1">'Control Panel'!$C$48</definedName>
    <definedName name="Ramp2">'Control Panel'!$C$49</definedName>
    <definedName name="OpenYearShare">'Control Panel'!$C$50</definedName>
    <definedName name="BuildInflation">'Control Panel'!$C$51</definedName>
    <definedName name="DiscountRate">'Control Panel'!$C$52</definedName>
    <definedName name="FlagshipBar">'Control Panel'!$C$55</definedName>
    <definedName name="StandardBar">'Control Panel'!$C$56</definedName>
    <definedName name="AreaUnit">'Control Panel'!$C$57</definedName>
    <definedName name="AreaFactor">'Control Panel'!$D$57</definedName>
    <definedName name="ProgramOnce">Switchboard!$J$61</definedName>
    <definedName name="Pilot_SPLUS">Switchboard!$J$8</definedName>
    <definedName name="Pilot_S">Switchboard!$K$8</definedName>
    <definedName name="Pilot_D">Switchboard!$L$8</definedName>
    <definedName name="PilotBuild">Switchboard!$J$8:$L$8</definedName>
    <definedName name="FormatOnce">Switchboard!$J$10:$L$10</definedName>
    <definedName name="PBAt1">Scale!$C$17</definedName>
    <definedName name="PBDisc1">Scale!$D$17</definedName>
    <definedName name="PBAt2">Scale!$C$18</definedName>
    <definedName name="PBDisc2">Scale!$D$18</definedName>
    <definedName name="PBAt3">Scale!$C$19</definedName>
    <definedName name="PBDisc3">Scale!$D$19</definedName>
    <definedName name="PBAt4">Scale!$C$20</definedName>
    <definedName name="PBDisc4">Scale!$D$20</definedName>
    <definedName name="BaseL">Scale!$C$24:$E$24</definedName>
    <definedName name="BaseV">Scale!$C$25:$E$25</definedName>
    <definedName name="BaseN">Scale!$C$26:$E$26</definedName>
    <definedName name="VarCosts">'Store P&amp;L'!$C$12</definedName>
    <definedName name="ContribMargin">'Store P&amp;L'!$C$13</definedName>
    <definedName name="SumRamp">'Store P&amp;L'!$C$14</definedName>
    <definedName name="RentPsf">'Store P&amp;L'!$C$18</definedName>
    <definedName name="RentElasticity">'Store P&amp;L'!$C$19</definedName>
    <definedName name="Fref">'Store P&amp;L'!$C$20</definedName>
    <definedName name="FTE">'Store P&amp;L'!$C$21:$E$21</definedName>
    <definedName name="FTECost">'Store P&amp;L'!$C$22</definedName>
    <definedName name="OtherOccPsf">'Store P&amp;L'!$C$23</definedName>
    <definedName name="KwhPsf">'Store P&amp;L'!$C$24</definedName>
    <definedName name="HoursOpen">'Store P&amp;L'!$C$25</definedName>
    <definedName name="DaysOpen">'Store P&amp;L'!$C$26</definedName>
    <definedName name="KwhPrice">'Store P&amp;L'!$C$27</definedName>
    <definedName name="SupportPct">'Store P&amp;L'!$C$28</definedName>
    <definedName name="RefreshShare">'Store P&amp;L'!$C$29</definedName>
    <definedName name="RefreshLife">'Store P&amp;L'!$C$30</definedName>
    <definedName name="ContentPerZone">'Store P&amp;L'!$C$31</definedName>
    <definedName name="CapacityPsf">'Store P&amp;L'!$C$32:$E$32</definedName>
    <definedName name="StockWeeks">'Store P&amp;L'!$C$33</definedName>
    <definedName name="LicFrom1">'Store P&amp;L'!$C$37</definedName>
    <definedName name="LicPrice1">'Store P&amp;L'!$D$37</definedName>
    <definedName name="LicFrom2">'Store P&amp;L'!$C$38</definedName>
    <definedName name="LicPrice2">'Store P&amp;L'!$D$38</definedName>
    <definedName name="LicFrom3">'Store P&amp;L'!$C$39</definedName>
    <definedName name="LicPrice3">'Store P&amp;L'!$D$39</definedName>
    <definedName name="LicFrom4">'Store P&amp;L'!$C$40</definedName>
    <definedName name="LicPrice4">'Store P&amp;L'!$D$40</definedName>
    <definedName name="LicFactor">'Store P&amp;L'!$C$41:$E$41</definedName>
    <definedName name="LicPlan">'Store P&amp;L'!$C$42:$E$42</definedName>
    <definedName name="HWLive">'Store P&amp;L'!$C$60:$E$60</definedName>
    <definedName name="KWLive">'Store P&amp;L'!$C$61:$E$61</definedName>
    <definedName name="ZonesLive">'Store P&amp;L'!$C$62:$E$62</definedName>
    <definedName name="RunOther">'Store P&amp;L'!$C$69:$E$69</definedName>
    <definedName name="MixAll">Melbourne!$H$7:$J$7</definedName>
    <definedName name="CountAll">Melbourne!$D$7:$F$7</definedName>
    <definedName name="CountA">Melbourne!$D$8:$F$8</definedName>
    <definedName name="CountC">Melbourne!$D$10:$F$10</definedName>
    <definedName name="MixA">Melbourne!$H$8:$J$8</definedName>
    <definedName name="MixC">Melbourne!$H$10:$J$10</definedName>
    <definedName name="ArchNames">Melbourne!$B$15:$B$21</definedName>
    <definedName name="ArchFactor">Melbourne!$C$15:$C$21</definedName>
    <definedName name="ThreshA">Melbourne!$D$46:$F$46</definedName>
    <definedName name="Cand">Melbourne!$D$51:$F$51</definedName>
    <definedName name="TypicalF">Melbourne!$D$52:$F$52</definedName>
    <definedName name="TypicalQ">Melbourne!$D$53:$F$53</definedName>
    <definedName name="Melb_F">Melbourne!$E$58:$E$135</definedName>
    <definedName name="ShareUsed">Rollout!$C$6:$C$8</definedName>
    <definedName name="Target">Rollout!$D$6:$D$8</definedName>
    <definedName name="FirstYear">Rollout!$E$6:$E$8</definedName>
    <definedName name="AtScale">Rollout!$G$6:$G$8</definedName>
    <definedName name="RO_Grid">Rollout!$U$22:$AD$121</definedName>
    <definedName name="TotalInvest">Program!$C$32</definedName>
    <definedName name="PeakNeed">Program!$C$33</definedName>
    <definedName name="PaybackText">Program!$C$34</definedName>
    <definedName name="NPVProgram">Program!$C$35</definedName>
    <definedName name="CashAfter10">Program!$C$36</definedName>
    <definedName name="StoresRepayText">Program!$C$37</definedName>
    <definedName name="StoresRepay5">Program!$C$38</definedName>
    <definedName name="CentralTeam">Program!$C$42</definedName>
    <definedName name="PlatformCost">Program!$C$43</definedName>
    <definedName name="StoresPerTech">Program!$C$44</definedName>
    <definedName name="TechCost">Program!$C$45</definedName>
    <definedName name="StoresPerManager">Program!$C$46</definedName>
    <definedName name="ManagerCost">Program!$C$47</definedName>
    <definedName name="LicByYear">Program!$C$50:$L$52</definedName>
    <definedName name="PaybackYearNum">Program!$C$40</definedName>
  </definedNames>
  <calcPr calcId="124519" fullCalcOnLoad="1"/>
</workbook>
</file>

<file path=xl/styles.xml><?xml version="1.0" encoding="utf-8"?>
<styleSheet xmlns="http://schemas.openxmlformats.org/spreadsheetml/2006/main">
  <numFmts count="12">
    <numFmt numFmtId="164" formatCode="#,##0;(#,##0);&quot;-&quot;"/>
    <numFmt numFmtId="165" formatCode="$#,##0;($#,##0);&quot;-&quot;"/>
    <numFmt numFmtId="166" formatCode="0%;(0%);&quot;-&quot;"/>
    <numFmt numFmtId="167" formatCode="0.0%;(0.0%);&quot;-&quot;"/>
    <numFmt numFmtId="168" formatCode="0.000"/>
    <numFmt numFmtId="169" formatCode="$#,##0;[Red]($#,##0);&quot;-&quot;"/>
    <numFmt numFmtId="170" formatCode="0.00;(0.00);&quot;-&quot;"/>
    <numFmt numFmtId="171" formatCode="#,##0.0;(#,##0.0);&quot;-&quot;"/>
    <numFmt numFmtId="172" formatCode="$#,##0.00;($#,##0.00);&quot;-&quot;"/>
    <numFmt numFmtId="173" formatCode="0.00&quot; kW&quot;;;&quot;-&quot;"/>
    <numFmt numFmtId="174" formatCode="0.0&quot; yrs&quot;;;&quot;-&quot;"/>
    <numFmt numFmtId="175" formatCode="&quot;Year &quot;0"/>
  </numFmts>
  <fonts count="27">
    <font>
      <name val="Calibri"/>
      <family val="2"/>
      <color theme="1"/>
      <sz val="11"/>
      <scheme val="minor"/>
    </font>
    <font>
      <name val="Arial"/>
      <b val="1"/>
      <color rgb="001F1A17"/>
      <sz val="10"/>
    </font>
    <font>
      <name val="Arial"/>
      <color rgb="001F1A17"/>
      <sz val="10"/>
    </font>
    <font>
      <name val="Arial"/>
      <b val="1"/>
      <color rgb="001F1A17"/>
      <sz val="18"/>
    </font>
    <font>
      <name val="Arial"/>
      <color rgb="006B625C"/>
      <sz val="10"/>
    </font>
    <font>
      <name val="Arial"/>
      <b val="1"/>
      <color rgb="00FFFFFF"/>
      <sz val="11"/>
    </font>
    <font>
      <name val="Arial"/>
      <b val="1"/>
      <color rgb="001F1A17"/>
      <sz val="9"/>
    </font>
    <font>
      <name val="Arial"/>
      <color rgb="000000FF"/>
      <sz val="10"/>
    </font>
    <font>
      <name val="Arial"/>
      <color rgb="00008000"/>
      <sz val="10"/>
    </font>
    <font>
      <name val="Arial"/>
      <color rgb="00808080"/>
      <sz val="9"/>
    </font>
    <font>
      <name val="Arial"/>
      <b val="1"/>
      <color rgb="00008000"/>
      <sz val="10"/>
    </font>
    <font>
      <name val="Arial"/>
      <b val="1"/>
      <color rgb="00FFFFFF"/>
      <sz val="9"/>
    </font>
    <font>
      <name val="Arial"/>
      <b val="1"/>
      <color rgb="001F1A17"/>
      <sz val="11"/>
    </font>
    <font>
      <name val="Arial"/>
      <b val="1"/>
      <color rgb="00008000"/>
      <sz val="13"/>
    </font>
    <font>
      <name val="Arial"/>
      <color rgb="00808080"/>
      <sz val="10"/>
    </font>
    <font>
      <name val="Arial"/>
      <b val="1"/>
      <color rgb="00808080"/>
      <sz val="9"/>
    </font>
    <font>
      <name val="Arial"/>
      <b val="1"/>
      <color rgb="00808080"/>
      <sz val="8"/>
    </font>
    <font>
      <name val="Arial"/>
      <color rgb="006B625C"/>
      <sz val="9"/>
    </font>
    <font>
      <name val="Arial"/>
      <i val="1"/>
      <color rgb="006B625C"/>
      <sz val="10"/>
    </font>
    <font>
      <name val="Arial"/>
      <i val="1"/>
      <color rgb="001F1A17"/>
      <sz val="10"/>
    </font>
    <font>
      <name val="Arial"/>
      <color rgb="00C00000"/>
      <sz val="10"/>
    </font>
    <font>
      <name val="Arial"/>
      <b val="1"/>
      <color rgb="001F1A17"/>
      <sz val="26"/>
    </font>
    <font>
      <name val="Arial"/>
      <color rgb="001F1A17"/>
      <sz val="11"/>
    </font>
    <font>
      <name val="Arial"/>
      <b val="1"/>
      <color rgb="00FF4F00"/>
      <sz val="14"/>
    </font>
    <font>
      <name val="Arial"/>
      <b val="1"/>
      <color rgb="000563C1"/>
      <sz val="11"/>
      <u val="single"/>
    </font>
    <font>
      <name val="Arial"/>
      <b val="1"/>
      <color rgb="000563C1"/>
      <sz val="10"/>
      <u val="single"/>
    </font>
    <font>
      <name val="Arial"/>
      <b val="1"/>
      <color rgb="00C00000"/>
      <sz val="10"/>
    </font>
  </fonts>
  <fills count="10">
    <fill>
      <patternFill/>
    </fill>
    <fill>
      <patternFill patternType="gray125"/>
    </fill>
    <fill>
      <patternFill patternType="solid">
        <fgColor rgb="001F1A17"/>
        <bgColor rgb="001F1A17"/>
      </patternFill>
    </fill>
    <fill>
      <patternFill patternType="solid">
        <fgColor rgb="00EDE7E1"/>
        <bgColor rgb="00EDE7E1"/>
      </patternFill>
    </fill>
    <fill>
      <patternFill patternType="solid">
        <fgColor rgb="00FFF2CC"/>
        <bgColor rgb="00FFF2CC"/>
      </patternFill>
    </fill>
    <fill>
      <patternFill patternType="solid">
        <fgColor rgb="00F4F4F4"/>
        <bgColor rgb="00F4F4F4"/>
      </patternFill>
    </fill>
    <fill>
      <patternFill patternType="solid">
        <fgColor rgb="00842C01"/>
        <bgColor rgb="00842C01"/>
      </patternFill>
    </fill>
    <fill>
      <patternFill patternType="solid">
        <fgColor rgb="00C34501"/>
        <bgColor rgb="00C34501"/>
      </patternFill>
    </fill>
    <fill>
      <patternFill patternType="solid">
        <fgColor rgb="00EE6B37"/>
        <bgColor rgb="00EE6B37"/>
      </patternFill>
    </fill>
    <fill>
      <patternFill patternType="solid">
        <fgColor rgb="00FCE4D6"/>
        <bgColor rgb="00FCE4D6"/>
      </patternFill>
    </fill>
  </fills>
  <borders count="3">
    <border>
      <left/>
      <right/>
      <top/>
      <bottom/>
      <diagonal/>
    </border>
    <border>
      <left style="thin">
        <color rgb="00C9C0B8"/>
      </left>
      <right style="thin">
        <color rgb="00C9C0B8"/>
      </right>
      <top style="thin">
        <color rgb="00C9C0B8"/>
      </top>
      <bottom style="thin">
        <color rgb="00C9C0B8"/>
      </bottom>
    </border>
    <border>
      <top style="thin">
        <color rgb="001F1A17"/>
      </top>
    </border>
  </borders>
  <cellStyleXfs count="1">
    <xf numFmtId="0" fontId="0" fillId="0" borderId="0"/>
  </cellStyleXfs>
  <cellXfs count="126">
    <xf numFmtId="0" fontId="0" fillId="0" borderId="0" pivotButton="0" quotePrefix="0" xfId="0"/>
    <xf numFmtId="0" fontId="21" fillId="0" borderId="0" applyAlignment="1" pivotButton="0" quotePrefix="0" xfId="0">
      <alignment vertical="center"/>
    </xf>
    <xf numFmtId="0" fontId="22" fillId="0" borderId="0" pivotButton="0" quotePrefix="0" xfId="0"/>
    <xf numFmtId="0" fontId="17" fillId="0" borderId="0" pivotButton="0" quotePrefix="0" xfId="0"/>
    <xf numFmtId="0" fontId="5" fillId="2" borderId="0" applyAlignment="1" pivotButton="0" quotePrefix="0" xfId="0">
      <alignment horizontal="left" vertical="center"/>
    </xf>
    <xf numFmtId="0" fontId="0" fillId="2" borderId="0" pivotButton="0" quotePrefix="0" xfId="0"/>
    <xf numFmtId="0" fontId="23" fillId="0" borderId="0" applyAlignment="1" pivotButton="0" quotePrefix="0" xfId="0">
      <alignment horizontal="center" vertical="center"/>
    </xf>
    <xf numFmtId="0" fontId="24" fillId="0" borderId="0" applyAlignment="1" pivotButton="0" quotePrefix="0" xfId="0">
      <alignment vertical="center"/>
    </xf>
    <xf numFmtId="0" fontId="2" fillId="0" borderId="0" applyAlignment="1" pivotButton="0" quotePrefix="0" xfId="0">
      <alignment horizontal="left" vertical="center"/>
    </xf>
    <xf numFmtId="0" fontId="18" fillId="0" borderId="0" applyAlignment="1" pivotButton="0" quotePrefix="0" xfId="0">
      <alignment horizontal="left" vertical="center"/>
    </xf>
    <xf numFmtId="0" fontId="6" fillId="3" borderId="0" applyAlignment="1" pivotButton="0" quotePrefix="0" xfId="0">
      <alignment horizontal="left" vertical="center" wrapText="1"/>
    </xf>
    <xf numFmtId="0" fontId="6" fillId="3" borderId="0" applyAlignment="1" pivotButton="0" quotePrefix="0" xfId="0">
      <alignment horizontal="center" vertical="center" wrapText="1"/>
    </xf>
    <xf numFmtId="0" fontId="12" fillId="0" borderId="0" applyAlignment="1" pivotButton="0" quotePrefix="0" xfId="0">
      <alignment horizontal="center" vertical="center"/>
    </xf>
    <xf numFmtId="0" fontId="2" fillId="0" borderId="0" applyAlignment="1" pivotButton="0" quotePrefix="0" xfId="0">
      <alignment horizontal="left" vertical="center" wrapText="1"/>
    </xf>
    <xf numFmtId="0" fontId="1" fillId="0" borderId="0" applyAlignment="1" pivotButton="0" quotePrefix="0" xfId="0">
      <alignment horizontal="center" vertical="center"/>
    </xf>
    <xf numFmtId="0" fontId="4" fillId="0" borderId="0" applyAlignment="1" pivotButton="0" quotePrefix="0" xfId="0">
      <alignment horizontal="left" vertical="center" wrapText="1"/>
    </xf>
    <xf numFmtId="0" fontId="1" fillId="0" borderId="0" applyAlignment="1" pivotButton="0" quotePrefix="0" xfId="0">
      <alignment horizontal="right" vertical="center"/>
    </xf>
    <xf numFmtId="165" fontId="10" fillId="0" borderId="0" applyAlignment="1" pivotButton="0" quotePrefix="0" xfId="0">
      <alignment horizontal="right" vertical="center"/>
    </xf>
    <xf numFmtId="0" fontId="10" fillId="0" borderId="0" applyAlignment="1" pivotButton="0" quotePrefix="0" xfId="0">
      <alignment horizontal="right" vertical="center"/>
    </xf>
    <xf numFmtId="0" fontId="10" fillId="0" borderId="0" applyAlignment="1" pivotButton="0" quotePrefix="0" xfId="0">
      <alignment horizontal="left" vertical="center"/>
    </xf>
    <xf numFmtId="164" fontId="10" fillId="0" borderId="0" applyAlignment="1" pivotButton="0" quotePrefix="0" xfId="0">
      <alignment horizontal="right" vertical="center"/>
    </xf>
    <xf numFmtId="169" fontId="10" fillId="0" borderId="0" applyAlignment="1" pivotButton="0" quotePrefix="0" xfId="0">
      <alignment horizontal="right" vertical="center"/>
    </xf>
    <xf numFmtId="0" fontId="25" fillId="0" borderId="0" pivotButton="0" quotePrefix="0" xfId="0"/>
    <xf numFmtId="0" fontId="7" fillId="4" borderId="1" applyAlignment="1" pivotButton="0" quotePrefix="0" xfId="0">
      <alignment horizontal="center"/>
    </xf>
    <xf numFmtId="0" fontId="2" fillId="0" borderId="0" applyAlignment="1" pivotButton="0" quotePrefix="0" xfId="0">
      <alignment horizontal="center"/>
    </xf>
    <xf numFmtId="0" fontId="8" fillId="0" borderId="0" applyAlignment="1" pivotButton="0" quotePrefix="0" xfId="0">
      <alignment horizontal="center"/>
    </xf>
    <xf numFmtId="0" fontId="9" fillId="5" borderId="0" applyAlignment="1" pivotButton="0" quotePrefix="0" xfId="0">
      <alignment horizontal="center"/>
    </xf>
    <xf numFmtId="0" fontId="26" fillId="9" borderId="1" applyAlignment="1" pivotButton="0" quotePrefix="0" xfId="0">
      <alignment horizontal="center"/>
    </xf>
    <xf numFmtId="0" fontId="11" fillId="6" borderId="0" applyAlignment="1" pivotButton="0" quotePrefix="0" xfId="0">
      <alignment horizontal="center" vertical="center" wrapText="1"/>
    </xf>
    <xf numFmtId="0" fontId="11" fillId="7" borderId="0" applyAlignment="1" pivotButton="0" quotePrefix="0" xfId="0">
      <alignment horizontal="center" vertical="center" wrapText="1"/>
    </xf>
    <xf numFmtId="0" fontId="6" fillId="8" borderId="0" applyAlignment="1" pivotButton="0" quotePrefix="0" xfId="0">
      <alignment horizontal="center" vertical="center" wrapText="1"/>
    </xf>
    <xf numFmtId="0" fontId="2" fillId="0" borderId="0" applyAlignment="1" pivotButton="0" quotePrefix="0" xfId="0">
      <alignment vertical="top" wrapText="1"/>
    </xf>
    <xf numFmtId="0" fontId="3" fillId="0" borderId="0" applyAlignment="1" pivotButton="0" quotePrefix="0" xfId="0">
      <alignment vertical="center"/>
    </xf>
    <xf numFmtId="0" fontId="4" fillId="0" borderId="0" applyAlignment="1" pivotButton="0" quotePrefix="0" xfId="0">
      <alignment vertical="top"/>
    </xf>
    <xf numFmtId="0" fontId="1" fillId="0" borderId="0" applyAlignment="1" pivotButton="0" quotePrefix="0" xfId="0">
      <alignment horizontal="left" vertical="center"/>
    </xf>
    <xf numFmtId="0" fontId="7" fillId="4" borderId="1" applyAlignment="1" pivotButton="0" quotePrefix="0" xfId="0">
      <alignment horizontal="center" vertical="center"/>
    </xf>
    <xf numFmtId="164" fontId="7" fillId="4" borderId="1" applyAlignment="1" pivotButton="0" quotePrefix="0" xfId="0">
      <alignment horizontal="right" vertical="center"/>
    </xf>
    <xf numFmtId="165" fontId="8" fillId="0" borderId="0" applyAlignment="1" pivotButton="0" quotePrefix="0" xfId="0">
      <alignment horizontal="right" vertical="center"/>
    </xf>
    <xf numFmtId="0" fontId="4" fillId="0" borderId="0" applyAlignment="1" pivotButton="0" quotePrefix="0" xfId="0">
      <alignment horizontal="left" vertical="center"/>
    </xf>
    <xf numFmtId="165" fontId="2" fillId="0" borderId="0" applyAlignment="1" pivotButton="0" quotePrefix="0" xfId="0">
      <alignment horizontal="right" vertical="center"/>
    </xf>
    <xf numFmtId="0" fontId="2" fillId="0" borderId="0" applyAlignment="1" pivotButton="0" quotePrefix="0" xfId="0">
      <alignment horizontal="left" vertical="center"/>
    </xf>
    <xf numFmtId="167" fontId="2" fillId="0" borderId="0" applyAlignment="1" pivotButton="0" quotePrefix="0" xfId="0">
      <alignment horizontal="right" vertical="center"/>
    </xf>
    <xf numFmtId="166" fontId="7" fillId="4" borderId="1" applyAlignment="1" pivotButton="0" quotePrefix="0" xfId="0">
      <alignment horizontal="right" vertical="center"/>
    </xf>
    <xf numFmtId="166" fontId="8" fillId="0" borderId="0" applyAlignment="1" pivotButton="0" quotePrefix="0" xfId="0">
      <alignment horizontal="right" vertical="center"/>
    </xf>
    <xf numFmtId="164" fontId="8" fillId="0" borderId="0" applyAlignment="1" pivotButton="0" quotePrefix="0" xfId="0">
      <alignment horizontal="right" vertical="center"/>
    </xf>
    <xf numFmtId="166" fontId="2" fillId="0" borderId="0" applyAlignment="1" pivotButton="0" quotePrefix="0" xfId="0">
      <alignment horizontal="right" vertical="center"/>
    </xf>
    <xf numFmtId="164" fontId="2" fillId="0" borderId="0" applyAlignment="1" pivotButton="0" quotePrefix="0" xfId="0">
      <alignment horizontal="right" vertical="center"/>
    </xf>
    <xf numFmtId="164" fontId="1" fillId="0" borderId="0" applyAlignment="1" pivotButton="0" quotePrefix="0" xfId="0">
      <alignment horizontal="right" vertical="center"/>
    </xf>
    <xf numFmtId="0" fontId="20" fillId="0" borderId="0" applyAlignment="1" pivotButton="0" quotePrefix="0" xfId="0">
      <alignment horizontal="left" vertical="center"/>
    </xf>
    <xf numFmtId="0" fontId="12" fillId="0" borderId="0" applyAlignment="1" pivotButton="0" quotePrefix="0" xfId="0">
      <alignment horizontal="left" vertical="center"/>
    </xf>
    <xf numFmtId="165" fontId="13" fillId="0" borderId="0" applyAlignment="1" pivotButton="0" quotePrefix="0" xfId="0">
      <alignment horizontal="right" vertical="center"/>
    </xf>
    <xf numFmtId="0" fontId="13" fillId="0" borderId="0" applyAlignment="1" pivotButton="0" quotePrefix="0" xfId="0">
      <alignment horizontal="right" vertical="center"/>
    </xf>
    <xf numFmtId="169" fontId="13" fillId="0" borderId="0" applyAlignment="1" pivotButton="0" quotePrefix="0" xfId="0">
      <alignment horizontal="right" vertical="center"/>
    </xf>
    <xf numFmtId="0" fontId="4" fillId="0" borderId="0" applyAlignment="1" pivotButton="0" quotePrefix="0" xfId="0">
      <alignment horizontal="left" vertical="center"/>
    </xf>
    <xf numFmtId="165" fontId="7" fillId="4" borderId="1" applyAlignment="1" pivotButton="0" quotePrefix="0" xfId="0">
      <alignment horizontal="right" vertical="center"/>
    </xf>
    <xf numFmtId="165" fontId="4" fillId="0" borderId="0" applyAlignment="1" pivotButton="0" quotePrefix="0" xfId="0">
      <alignment horizontal="right"/>
    </xf>
    <xf numFmtId="166" fontId="4" fillId="0" borderId="0" applyAlignment="1" pivotButton="0" quotePrefix="0" xfId="0">
      <alignment horizontal="right"/>
    </xf>
    <xf numFmtId="167" fontId="7" fillId="4" borderId="1" applyAlignment="1" pivotButton="0" quotePrefix="0" xfId="0">
      <alignment horizontal="right" vertical="center"/>
    </xf>
    <xf numFmtId="167" fontId="4" fillId="0" borderId="0" applyAlignment="1" pivotButton="0" quotePrefix="0" xfId="0">
      <alignment horizontal="right"/>
    </xf>
    <xf numFmtId="164" fontId="4" fillId="0" borderId="0" applyAlignment="1" pivotButton="0" quotePrefix="0" xfId="0">
      <alignment horizontal="right"/>
    </xf>
    <xf numFmtId="167" fontId="8" fillId="0" borderId="0" applyAlignment="1" pivotButton="0" quotePrefix="0" xfId="0">
      <alignment horizontal="right" vertical="center"/>
    </xf>
    <xf numFmtId="168" fontId="9" fillId="5" borderId="0" applyAlignment="1" pivotButton="0" quotePrefix="0" xfId="0">
      <alignment horizontal="right" vertical="center"/>
    </xf>
    <xf numFmtId="0" fontId="3" fillId="0" borderId="0" pivotButton="0" quotePrefix="0" xfId="0"/>
    <xf numFmtId="0" fontId="4" fillId="0" borderId="0" pivotButton="0" quotePrefix="0" xfId="0"/>
    <xf numFmtId="0" fontId="6" fillId="3" borderId="0" applyAlignment="1" pivotButton="0" quotePrefix="0" xfId="0">
      <alignment horizontal="left" vertical="center"/>
    </xf>
    <xf numFmtId="0" fontId="8" fillId="0" borderId="0" applyAlignment="1" pivotButton="0" quotePrefix="0" xfId="0">
      <alignment horizontal="center" vertical="center"/>
    </xf>
    <xf numFmtId="164" fontId="8" fillId="0" borderId="0" applyAlignment="1" pivotButton="0" quotePrefix="0" xfId="0">
      <alignment horizontal="center" vertical="center"/>
    </xf>
    <xf numFmtId="165" fontId="1" fillId="0" borderId="0" applyAlignment="1" pivotButton="0" quotePrefix="0" xfId="0">
      <alignment horizontal="right" vertical="center"/>
    </xf>
    <xf numFmtId="0" fontId="14" fillId="0" borderId="0" applyAlignment="1" pivotButton="0" quotePrefix="0" xfId="0">
      <alignment horizontal="left" vertical="center"/>
    </xf>
    <xf numFmtId="0" fontId="9" fillId="5" borderId="0" applyAlignment="1" pivotButton="0" quotePrefix="0" xfId="0">
      <alignment horizontal="center" vertical="center"/>
    </xf>
    <xf numFmtId="165" fontId="2" fillId="0" borderId="0" applyAlignment="1" pivotButton="0" quotePrefix="0" xfId="0">
      <alignment horizontal="center" vertical="center"/>
    </xf>
    <xf numFmtId="0" fontId="0" fillId="3" borderId="0" pivotButton="0" quotePrefix="0" xfId="0"/>
    <xf numFmtId="0" fontId="6" fillId="3" borderId="0" applyAlignment="1" pivotButton="0" quotePrefix="0" xfId="0">
      <alignment horizontal="center" vertical="center"/>
    </xf>
    <xf numFmtId="0" fontId="15" fillId="0" borderId="0" pivotButton="0" quotePrefix="0" xfId="0"/>
    <xf numFmtId="0" fontId="16" fillId="5" borderId="0" applyAlignment="1" pivotButton="0" quotePrefix="0" xfId="0">
      <alignment horizontal="center" wrapText="1"/>
    </xf>
    <xf numFmtId="0" fontId="2" fillId="0" borderId="0" applyAlignment="1" pivotButton="0" quotePrefix="0" xfId="0">
      <alignment horizontal="center" vertical="center"/>
    </xf>
    <xf numFmtId="165" fontId="9" fillId="5" borderId="0" applyAlignment="1" pivotButton="0" quotePrefix="0" xfId="0">
      <alignment horizontal="right" vertical="center"/>
    </xf>
    <xf numFmtId="165" fontId="4" fillId="0" borderId="0" applyAlignment="1" pivotButton="0" quotePrefix="0" xfId="0">
      <alignment horizontal="right" vertical="center"/>
    </xf>
    <xf numFmtId="0" fontId="0" fillId="0" borderId="2" pivotButton="0" quotePrefix="0" xfId="0"/>
    <xf numFmtId="0" fontId="1" fillId="0" borderId="2" applyAlignment="1" pivotButton="0" quotePrefix="0" xfId="0">
      <alignment horizontal="left" vertical="center"/>
    </xf>
    <xf numFmtId="165" fontId="1" fillId="0" borderId="2" applyAlignment="1" pivotButton="0" quotePrefix="0" xfId="0">
      <alignment horizontal="right" vertical="center"/>
    </xf>
    <xf numFmtId="0" fontId="16" fillId="5" borderId="0" pivotButton="0" quotePrefix="0" xfId="0"/>
    <xf numFmtId="1" fontId="9" fillId="5" borderId="0" applyAlignment="1" pivotButton="0" quotePrefix="0" xfId="0">
      <alignment horizontal="right" vertical="center"/>
    </xf>
    <xf numFmtId="166" fontId="1" fillId="0" borderId="0" applyAlignment="1" pivotButton="0" quotePrefix="0" xfId="0">
      <alignment horizontal="right" vertical="center"/>
    </xf>
    <xf numFmtId="167" fontId="1" fillId="0" borderId="0" applyAlignment="1" pivotButton="0" quotePrefix="0" xfId="0">
      <alignment horizontal="right" vertical="center"/>
    </xf>
    <xf numFmtId="168" fontId="2" fillId="0" borderId="0" applyAlignment="1" pivotButton="0" quotePrefix="0" xfId="0">
      <alignment horizontal="right" vertical="center"/>
    </xf>
    <xf numFmtId="170" fontId="2" fillId="0" borderId="0" applyAlignment="1" pivotButton="0" quotePrefix="0" xfId="0">
      <alignment horizontal="right" vertical="center"/>
    </xf>
    <xf numFmtId="170" fontId="7" fillId="4" borderId="1" applyAlignment="1" pivotButton="0" quotePrefix="0" xfId="0">
      <alignment horizontal="right" vertical="center"/>
    </xf>
    <xf numFmtId="171" fontId="7" fillId="4" borderId="1" applyAlignment="1" pivotButton="0" quotePrefix="0" xfId="0">
      <alignment horizontal="right" vertical="center"/>
    </xf>
    <xf numFmtId="172" fontId="7" fillId="4" borderId="1" applyAlignment="1" pivotButton="0" quotePrefix="0" xfId="0">
      <alignment horizontal="right" vertical="center"/>
    </xf>
    <xf numFmtId="1" fontId="7" fillId="4" borderId="1" applyAlignment="1" pivotButton="0" quotePrefix="0" xfId="0">
      <alignment horizontal="right" vertical="center"/>
    </xf>
    <xf numFmtId="1" fontId="8" fillId="0" borderId="0" applyAlignment="1" pivotButton="0" quotePrefix="0" xfId="0">
      <alignment horizontal="center" vertical="center"/>
    </xf>
    <xf numFmtId="173" fontId="2" fillId="0" borderId="0" applyAlignment="1" pivotButton="0" quotePrefix="0" xfId="0">
      <alignment horizontal="right" vertical="center"/>
    </xf>
    <xf numFmtId="170" fontId="8" fillId="0" borderId="0" applyAlignment="1" pivotButton="0" quotePrefix="0" xfId="0">
      <alignment horizontal="right" vertical="center"/>
    </xf>
    <xf numFmtId="169" fontId="1" fillId="0" borderId="0" applyAlignment="1" pivotButton="0" quotePrefix="0" xfId="0">
      <alignment horizontal="right" vertical="center"/>
    </xf>
    <xf numFmtId="169" fontId="2" fillId="0" borderId="0" applyAlignment="1" pivotButton="0" quotePrefix="0" xfId="0">
      <alignment horizontal="right" vertical="center"/>
    </xf>
    <xf numFmtId="174" fontId="1" fillId="0" borderId="0" applyAlignment="1" pivotButton="0" quotePrefix="0" xfId="0">
      <alignment horizontal="right" vertical="center"/>
    </xf>
    <xf numFmtId="0" fontId="11" fillId="6" borderId="0" applyAlignment="1" pivotButton="0" quotePrefix="0" xfId="0">
      <alignment horizontal="left" vertical="center"/>
    </xf>
    <xf numFmtId="0" fontId="11" fillId="7" borderId="0" applyAlignment="1" pivotButton="0" quotePrefix="0" xfId="0">
      <alignment horizontal="left" vertical="center"/>
    </xf>
    <xf numFmtId="0" fontId="6" fillId="8" borderId="0" applyAlignment="1" pivotButton="0" quotePrefix="0" xfId="0">
      <alignment horizontal="left" vertical="center"/>
    </xf>
    <xf numFmtId="0" fontId="1" fillId="0" borderId="0" applyAlignment="1" pivotButton="0" quotePrefix="0" xfId="0">
      <alignment horizontal="left" vertical="center"/>
    </xf>
    <xf numFmtId="0" fontId="6" fillId="3" borderId="0" applyAlignment="1" pivotButton="0" quotePrefix="0" xfId="0">
      <alignment horizontal="center"/>
    </xf>
    <xf numFmtId="1" fontId="17" fillId="0" borderId="0" pivotButton="0" quotePrefix="0" xfId="0"/>
    <xf numFmtId="164" fontId="2" fillId="0" borderId="0" pivotButton="0" quotePrefix="0" xfId="0"/>
    <xf numFmtId="0" fontId="4" fillId="0" borderId="0" applyAlignment="1" pivotButton="0" quotePrefix="0" xfId="0">
      <alignment horizontal="center"/>
    </xf>
    <xf numFmtId="164" fontId="9" fillId="5" borderId="0" applyAlignment="1" pivotButton="0" quotePrefix="0" xfId="0">
      <alignment horizontal="right" vertical="center"/>
    </xf>
    <xf numFmtId="167" fontId="2" fillId="0" borderId="2" applyAlignment="1" pivotButton="0" quotePrefix="0" xfId="0">
      <alignment horizontal="right" vertical="center"/>
    </xf>
    <xf numFmtId="164" fontId="1" fillId="0" borderId="2" applyAlignment="1" pivotButton="0" quotePrefix="0" xfId="0">
      <alignment horizontal="right" vertical="center"/>
    </xf>
    <xf numFmtId="0" fontId="11" fillId="2" borderId="0" applyAlignment="1" pivotButton="0" quotePrefix="0" xfId="0">
      <alignment horizontal="left" vertical="center"/>
    </xf>
    <xf numFmtId="175" fontId="6" fillId="3" borderId="0" applyAlignment="1" pivotButton="0" quotePrefix="0" xfId="0">
      <alignment horizontal="center" vertical="center"/>
    </xf>
    <xf numFmtId="1" fontId="1" fillId="0" borderId="0" applyAlignment="1" pivotButton="0" quotePrefix="0" xfId="0">
      <alignment horizontal="center"/>
    </xf>
    <xf numFmtId="1" fontId="2" fillId="0" borderId="0" applyAlignment="1" pivotButton="0" quotePrefix="0" xfId="0">
      <alignment horizontal="center" vertical="center"/>
    </xf>
    <xf numFmtId="171" fontId="2" fillId="0" borderId="0" applyAlignment="1" pivotButton="0" quotePrefix="0" xfId="0">
      <alignment horizontal="right" vertical="center"/>
    </xf>
    <xf numFmtId="174" fontId="2" fillId="0" borderId="0" applyAlignment="1" pivotButton="0" quotePrefix="0" xfId="0">
      <alignment horizontal="right" vertical="center"/>
    </xf>
    <xf numFmtId="1" fontId="9" fillId="5" borderId="0" applyAlignment="1" pivotButton="0" quotePrefix="0" xfId="0">
      <alignment horizontal="center" vertical="center"/>
    </xf>
    <xf numFmtId="0" fontId="1" fillId="0" borderId="0" applyAlignment="1" pivotButton="0" quotePrefix="0" xfId="0">
      <alignment horizontal="right" vertical="center"/>
    </xf>
    <xf numFmtId="1" fontId="2" fillId="0" borderId="0" applyAlignment="1" pivotButton="0" quotePrefix="0" xfId="0">
      <alignment horizontal="right" vertical="center"/>
    </xf>
    <xf numFmtId="0" fontId="11" fillId="6" borderId="0" applyAlignment="1" pivotButton="0" quotePrefix="0" xfId="0">
      <alignment horizontal="left"/>
    </xf>
    <xf numFmtId="0" fontId="11" fillId="7" borderId="0" applyAlignment="1" pivotButton="0" quotePrefix="0" xfId="0">
      <alignment horizontal="left"/>
    </xf>
    <xf numFmtId="0" fontId="6" fillId="8" borderId="0" applyAlignment="1" pivotButton="0" quotePrefix="0" xfId="0">
      <alignment horizontal="left"/>
    </xf>
    <xf numFmtId="0" fontId="19" fillId="0" borderId="0" applyAlignment="1" pivotButton="0" quotePrefix="0" xfId="0">
      <alignment horizontal="left" vertical="center"/>
    </xf>
    <xf numFmtId="0" fontId="10" fillId="0" borderId="0" applyAlignment="1" pivotButton="0" quotePrefix="0" xfId="0">
      <alignment horizontal="center" vertical="center"/>
    </xf>
    <xf numFmtId="0" fontId="7" fillId="4" borderId="1" applyAlignment="1" pivotButton="0" quotePrefix="0" xfId="0">
      <alignment horizontal="left" vertical="center"/>
    </xf>
    <xf numFmtId="169" fontId="7" fillId="4" borderId="1" applyAlignment="1" pivotButton="0" quotePrefix="0" xfId="0">
      <alignment horizontal="right" vertical="center"/>
    </xf>
    <xf numFmtId="0" fontId="1" fillId="0" borderId="0" applyAlignment="1" pivotButton="0" quotePrefix="0" xfId="0">
      <alignment vertical="top"/>
    </xf>
    <xf numFmtId="0" fontId="2" fillId="0" borderId="0" pivotButton="0" quotePrefix="0" xfId="0"/>
  </cellXfs>
  <cellStyles count="1">
    <cellStyle name="Normal" xfId="0" builtinId="0" hidden="0"/>
  </cellStyles>
  <dxfs count="13">
    <dxf>
      <font>
        <name val="Arial"/>
        <b val="1"/>
        <color rgb="00375623"/>
      </font>
      <fill>
        <patternFill patternType="solid">
          <fgColor rgb="00E2EFDA"/>
          <bgColor rgb="00E2EFDA"/>
        </patternFill>
      </fill>
    </dxf>
    <dxf>
      <font>
        <name val="Arial"/>
        <color rgb="006B625C"/>
      </font>
      <fill>
        <patternFill patternType="solid">
          <fgColor rgb="00F4F1EE"/>
          <bgColor rgb="00F4F1EE"/>
        </patternFill>
      </fill>
    </dxf>
    <dxf>
      <font>
        <name val="Arial"/>
        <b val="1"/>
        <color rgb="009C2A00"/>
      </font>
      <fill>
        <patternFill patternType="solid">
          <fgColor rgb="00FBE2D5"/>
          <bgColor rgb="00FBE2D5"/>
        </patternFill>
      </fill>
    </dxf>
    <dxf>
      <font>
        <name val="Arial"/>
        <b val="1"/>
        <color rgb="00C00000"/>
      </font>
    </dxf>
    <dxf>
      <font>
        <name val="Arial"/>
        <b val="1"/>
        <color rgb="00C00000"/>
      </font>
      <fill>
        <patternFill patternType="solid">
          <fgColor rgb="00EDEDED"/>
          <bgColor rgb="00EDEDED"/>
        </patternFill>
      </fill>
    </dxf>
    <dxf>
      <font>
        <name val="Arial"/>
        <color rgb="00808080"/>
      </font>
      <fill>
        <patternFill patternType="solid">
          <fgColor rgb="00EDEDED"/>
          <bgColor rgb="00EDEDED"/>
        </patternFill>
      </fill>
    </dxf>
    <dxf>
      <font>
        <name val="Arial"/>
        <b val="1"/>
        <color rgb="00C00000"/>
      </font>
      <fill>
        <patternFill patternType="solid">
          <fgColor rgb="00FCE4D6"/>
          <bgColor rgb="00FCE4D6"/>
        </patternFill>
      </fill>
    </dxf>
    <dxf>
      <fill>
        <patternFill patternType="solid">
          <fgColor rgb="00FCE4D6"/>
          <bgColor rgb="00FCE4D6"/>
        </patternFill>
      </fill>
    </dxf>
    <dxf>
      <font>
        <name val="Arial"/>
        <color rgb="009C2A00"/>
      </font>
      <fill>
        <patternFill patternType="solid">
          <fgColor rgb="00FBE2D5"/>
          <bgColor rgb="00FBE2D5"/>
        </patternFill>
      </fill>
    </dxf>
    <dxf>
      <font>
        <name val="Arial"/>
        <b val="1"/>
        <color rgb="00FFFFFF"/>
      </font>
      <fill>
        <patternFill patternType="solid">
          <fgColor rgb="00842C01"/>
          <bgColor rgb="00842C01"/>
        </patternFill>
      </fill>
    </dxf>
    <dxf>
      <font>
        <name val="Arial"/>
        <b val="1"/>
        <color rgb="00FFFFFF"/>
      </font>
      <fill>
        <patternFill patternType="solid">
          <fgColor rgb="00C34501"/>
          <bgColor rgb="00C34501"/>
        </patternFill>
      </fill>
    </dxf>
    <dxf>
      <font>
        <name val="Arial"/>
        <b val="1"/>
        <color rgb="001F1A17"/>
      </font>
      <fill>
        <patternFill patternType="solid">
          <fgColor rgb="00EE6B37"/>
          <bgColor rgb="00EE6B37"/>
        </patternFill>
      </fill>
    </dxf>
    <dxf>
      <font>
        <name val="Arial"/>
        <color rgb="00375623"/>
      </font>
      <fill>
        <patternFill patternType="solid">
          <fgColor rgb="00E2EFDA"/>
          <bgColor rgb="00E2EF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styles" Target="styles.xml" Id="rId12"/><Relationship Type="http://schemas.openxmlformats.org/officeDocument/2006/relationships/theme" Target="theme/theme1.xml" Id="rId13"/></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Program cash, cumulative (10 years)</a:t>
            </a:r>
          </a:p>
        </rich>
      </tx>
    </title>
    <plotArea>
      <lineChart>
        <grouping val="standard"/>
        <ser>
          <idx val="0"/>
          <order val="0"/>
          <spPr>
            <a:ln xmlns:a="http://schemas.openxmlformats.org/drawingml/2006/main" w="28575">
              <a:solidFill>
                <a:srgbClr val="FF4F00"/>
              </a:solidFill>
              <a:prstDash val="solid"/>
            </a:ln>
          </spPr>
          <marker>
            <symbol val="none"/>
            <spPr>
              <a:ln xmlns:a="http://schemas.openxmlformats.org/drawingml/2006/main">
                <a:prstDash val="solid"/>
              </a:ln>
            </spPr>
          </marker>
          <cat>
            <numRef>
              <f>'Program'!$C$4:$L$4</f>
            </numRef>
          </cat>
          <val>
            <numRef>
              <f>'Program'!$C$28:$L$28</f>
            </numRef>
          </val>
          <smooth val="0"/>
        </ser>
        <axId val="10"/>
        <axId val="100"/>
      </lineChart>
      <catAx>
        <axId val="10"/>
        <scaling>
          <orientation val="minMax"/>
        </scaling>
        <delete val="0"/>
        <axPos val="l"/>
        <majorTickMark val="none"/>
        <minorTickMark val="none"/>
        <tickLblPos val="low"/>
        <crossAx val="100"/>
        <lblOffset val="100"/>
      </catAx>
      <valAx>
        <axId val="100"/>
        <scaling>
          <orientation val="minMax"/>
        </scaling>
        <delete val="0"/>
        <axPos val="l"/>
        <majorGridlines/>
        <numFmt formatCode="$#,##0.0,,&quot;M&quot;" sourceLinked="0"/>
        <majorTickMark val="none"/>
        <minorTickMark val="none"/>
        <crossAx val="10"/>
      </valAx>
    </plotArea>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Melbourne streets that pay back, by test</a:t>
            </a:r>
          </a:p>
        </rich>
      </tx>
    </title>
    <plotArea>
      <barChart>
        <barDir val="col"/>
        <grouping val="clustered"/>
        <ser>
          <idx val="0"/>
          <order val="0"/>
          <tx>
            <v>Flagship (SPLUS)</v>
          </tx>
          <spPr>
            <a:solidFill xmlns:a="http://schemas.openxmlformats.org/drawingml/2006/main">
              <a:srgbClr val="842C01"/>
            </a:solidFill>
            <a:ln xmlns:a="http://schemas.openxmlformats.org/drawingml/2006/main">
              <a:solidFill>
                <a:srgbClr val="842C01"/>
              </a:solidFill>
              <a:prstDash val="solid"/>
            </a:ln>
          </spPr>
          <cat>
            <numRef>
              <f>'Melbourne'!$B$8:$B$11</f>
            </numRef>
          </cat>
          <val>
            <numRef>
              <f>'Melbourne'!$D$8:$D$11</f>
            </numRef>
          </val>
        </ser>
        <ser>
          <idx val="1"/>
          <order val="1"/>
          <tx>
            <v>Standard (S)</v>
          </tx>
          <spPr>
            <a:solidFill xmlns:a="http://schemas.openxmlformats.org/drawingml/2006/main">
              <a:srgbClr val="C34501"/>
            </a:solidFill>
            <a:ln xmlns:a="http://schemas.openxmlformats.org/drawingml/2006/main">
              <a:solidFill>
                <a:srgbClr val="C34501"/>
              </a:solidFill>
              <a:prstDash val="solid"/>
            </a:ln>
          </spPr>
          <cat>
            <numRef>
              <f>'Melbourne'!$B$8:$B$11</f>
            </numRef>
          </cat>
          <val>
            <numRef>
              <f>'Melbourne'!$E$8:$E$11</f>
            </numRef>
          </val>
        </ser>
        <ser>
          <idx val="2"/>
          <order val="2"/>
          <tx>
            <v>Small (D)</v>
          </tx>
          <spPr>
            <a:solidFill xmlns:a="http://schemas.openxmlformats.org/drawingml/2006/main">
              <a:srgbClr val="EE6B37"/>
            </a:solidFill>
            <a:ln xmlns:a="http://schemas.openxmlformats.org/drawingml/2006/main">
              <a:solidFill>
                <a:srgbClr val="EE6B37"/>
              </a:solidFill>
              <a:prstDash val="solid"/>
            </a:ln>
          </spPr>
          <cat>
            <numRef>
              <f>'Melbourne'!$B$8:$B$11</f>
            </numRef>
          </cat>
          <val>
            <numRef>
              <f>'Melbourne'!$F$8:$F$11</f>
            </numRef>
          </val>
        </ser>
        <gapWidth val="150"/>
        <axId val="10"/>
        <axId val="100"/>
      </barChart>
      <catAx>
        <axId val="10"/>
        <scaling>
          <orientation val="minMax"/>
        </scaling>
        <delete val="0"/>
        <axPos val="l"/>
        <majorTickMark val="none"/>
        <minorTickMark val="none"/>
        <tickLblPos val="low"/>
        <crossAx val="100"/>
        <lblOffset val="100"/>
      </catAx>
      <valAx>
        <axId val="100"/>
        <scaling>
          <orientation val="minMax"/>
        </scaling>
        <delete val="0"/>
        <axPos val="l"/>
        <majorGridlines/>
        <numFmt formatCode="0" sourceLinked="0"/>
        <majorTickMark val="none"/>
        <minorTickMark val="none"/>
        <crossAx val="10"/>
      </valAx>
    </plotArea>
    <legend>
      <legendPos val="b"/>
    </legend>
    <plotVisOnly val="1"/>
    <dispBlanksAs val="gap"/>
  </chart>
</chartSpace>
</file>

<file path=xl/charts/chart3.xml><?xml version="1.0" encoding="utf-8"?>
<chartSpace xmlns="http://schemas.openxmlformats.org/drawingml/2006/chart">
  <style val="13"/>
  <chart>
    <title>
      <tx>
        <rich>
          <a:bodyPr xmlns:a="http://schemas.openxmlformats.org/drawingml/2006/main"/>
          <a:p xmlns:a="http://schemas.openxmlformats.org/drawingml/2006/main">
            <a:pPr>
              <a:defRPr/>
            </a:pPr>
            <a:r>
              <a:t>How the average cost per store falls (if every store were a flagship)</a:t>
            </a:r>
          </a:p>
        </rich>
      </tx>
    </title>
    <plotArea>
      <scatterChart>
        <scatterStyle val="lineMarker"/>
        <ser>
          <idx val="0"/>
          <order val="0"/>
          <tx>
            <v>Labour-type lines (learning)</v>
          </tx>
          <spPr>
            <a:ln xmlns:a="http://schemas.openxmlformats.org/drawingml/2006/main" w="28575">
              <a:solidFill>
                <a:srgbClr val="C34501"/>
              </a:solidFill>
              <a:prstDash val="solid"/>
            </a:ln>
          </spPr>
          <marker>
            <symbol val="circle"/>
            <size val="5"/>
            <spPr>
              <a:solidFill xmlns:a="http://schemas.openxmlformats.org/drawingml/2006/main">
                <a:srgbClr val="C34501"/>
              </a:solidFill>
              <a:ln xmlns:a="http://schemas.openxmlformats.org/drawingml/2006/main">
                <a:solidFill>
                  <a:srgbClr val="C34501"/>
                </a:solidFill>
                <a:prstDash val="solid"/>
              </a:ln>
            </spPr>
          </marker>
          <xVal>
            <numRef>
              <f>'Scale'!$B$31:$B$42</f>
            </numRef>
          </xVal>
          <yVal>
            <numRef>
              <f>'Scale'!$C$31:$C$42</f>
            </numRef>
          </yVal>
          <smooth val="0"/>
        </ser>
        <ser>
          <idx val="1"/>
          <order val="1"/>
          <tx>
            <v>Bought kit (price breaks)</v>
          </tx>
          <spPr>
            <a:ln xmlns:a="http://schemas.openxmlformats.org/drawingml/2006/main" w="28575">
              <a:solidFill>
                <a:srgbClr val="EE6B37"/>
              </a:solidFill>
              <a:prstDash val="solid"/>
            </a:ln>
          </spPr>
          <marker>
            <symbol val="circle"/>
            <size val="5"/>
            <spPr>
              <a:solidFill xmlns:a="http://schemas.openxmlformats.org/drawingml/2006/main">
                <a:srgbClr val="EE6B37"/>
              </a:solidFill>
              <a:ln xmlns:a="http://schemas.openxmlformats.org/drawingml/2006/main">
                <a:solidFill>
                  <a:srgbClr val="EE6B37"/>
                </a:solidFill>
                <a:prstDash val="solid"/>
              </a:ln>
            </spPr>
          </marker>
          <xVal>
            <numRef>
              <f>'Scale'!$B$31:$B$42</f>
            </numRef>
          </xVal>
          <yVal>
            <numRef>
              <f>'Scale'!$D$31:$D$42</f>
            </numRef>
          </yVal>
          <smooth val="0"/>
        </ser>
        <ser>
          <idx val="2"/>
          <order val="2"/>
          <tx>
            <v>Whole flagship build</v>
          </tx>
          <spPr>
            <a:ln xmlns:a="http://schemas.openxmlformats.org/drawingml/2006/main" w="28575">
              <a:solidFill>
                <a:srgbClr val="1F1A17"/>
              </a:solidFill>
              <a:prstDash val="solid"/>
            </a:ln>
          </spPr>
          <marker>
            <symbol val="circle"/>
            <size val="5"/>
            <spPr>
              <a:solidFill xmlns:a="http://schemas.openxmlformats.org/drawingml/2006/main">
                <a:srgbClr val="1F1A17"/>
              </a:solidFill>
              <a:ln xmlns:a="http://schemas.openxmlformats.org/drawingml/2006/main">
                <a:solidFill>
                  <a:srgbClr val="1F1A17"/>
                </a:solidFill>
                <a:prstDash val="solid"/>
              </a:ln>
            </spPr>
          </marker>
          <xVal>
            <numRef>
              <f>'Scale'!$B$31:$B$42</f>
            </numRef>
          </xVal>
          <yVal>
            <numRef>
              <f>'Scale'!$N$31:$N$42</f>
            </numRef>
          </yVal>
          <smooth val="0"/>
        </ser>
        <axId val="10"/>
        <axId val="20"/>
      </scatterChart>
      <valAx>
        <axId val="10"/>
        <scaling>
          <logBase val="10"/>
          <orientation val="minMax"/>
          <max val="100"/>
          <min val="1"/>
        </scaling>
        <delete val="0"/>
        <axPos val="l"/>
        <majorGridlines/>
        <title>
          <tx>
            <rich>
              <a:bodyPr xmlns:a="http://schemas.openxmlformats.org/drawingml/2006/main"/>
              <a:p xmlns:a="http://schemas.openxmlformats.org/drawingml/2006/main">
                <a:pPr>
                  <a:defRPr/>
                </a:pPr>
                <a:r>
                  <a:t>Stores of one size (log scale)</a:t>
                </a:r>
              </a:p>
            </rich>
          </tx>
        </title>
        <numFmt formatCode="0" sourceLinked="0"/>
        <majorTickMark val="none"/>
        <minorTickMark val="none"/>
        <tickLblPos val="low"/>
        <crossAx val="20"/>
      </valAx>
      <valAx>
        <axId val="20"/>
        <scaling>
          <orientation val="minMax"/>
          <max val="1"/>
          <min val="0.5"/>
        </scaling>
        <delete val="0"/>
        <axPos val="l"/>
        <majorGridlines/>
        <numFmt formatCode="0%" sourceLinked="0"/>
        <majorTickMark val="none"/>
        <minorTickMark val="none"/>
        <crossAx val="10"/>
      </valAx>
    </plotArea>
    <legend>
      <legendPos val="b"/>
    </legend>
    <plotVisOnly val="1"/>
    <dispBlanksAs val="gap"/>
  </chart>
</chartSpace>
</file>

<file path=xl/charts/chart4.xml><?xml version="1.0" encoding="utf-8"?>
<chartSpace xmlns="http://schemas.openxmlformats.org/drawingml/2006/chart">
  <chart>
    <title>
      <tx>
        <rich>
          <a:bodyPr xmlns:a="http://schemas.openxmlformats.org/drawingml/2006/main"/>
          <a:p xmlns:a="http://schemas.openxmlformats.org/drawingml/2006/main">
            <a:pPr>
              <a:defRPr/>
            </a:pPr>
            <a:r>
              <a:t>A typical store: cash after paying for its build</a:t>
            </a:r>
          </a:p>
        </rich>
      </tx>
    </title>
    <plotArea>
      <lineChart>
        <grouping val="standard"/>
        <ser>
          <idx val="0"/>
          <order val="0"/>
          <tx>
            <v>Flagship (SPLUS)</v>
          </tx>
          <spPr>
            <a:ln xmlns:a="http://schemas.openxmlformats.org/drawingml/2006/main" w="28575">
              <a:solidFill>
                <a:srgbClr val="842C01"/>
              </a:solidFill>
              <a:prstDash val="solid"/>
            </a:ln>
          </spPr>
          <marker>
            <symbol val="none"/>
            <spPr>
              <a:ln xmlns:a="http://schemas.openxmlformats.org/drawingml/2006/main">
                <a:prstDash val="solid"/>
              </a:ln>
            </spPr>
          </marker>
          <cat>
            <numRef>
              <f>'Store P&amp;L'!$C$99:$L$99</f>
            </numRef>
          </cat>
          <val>
            <numRef>
              <f>'Store P&amp;L'!$C$100:$L$100</f>
            </numRef>
          </val>
          <smooth val="0"/>
        </ser>
        <ser>
          <idx val="1"/>
          <order val="1"/>
          <tx>
            <v>Standard (S)</v>
          </tx>
          <spPr>
            <a:ln xmlns:a="http://schemas.openxmlformats.org/drawingml/2006/main" w="28575">
              <a:solidFill>
                <a:srgbClr val="C34501"/>
              </a:solidFill>
              <a:prstDash val="solid"/>
            </a:ln>
          </spPr>
          <marker>
            <symbol val="none"/>
            <spPr>
              <a:ln xmlns:a="http://schemas.openxmlformats.org/drawingml/2006/main">
                <a:prstDash val="solid"/>
              </a:ln>
            </spPr>
          </marker>
          <cat>
            <numRef>
              <f>'Store P&amp;L'!$C$99:$L$99</f>
            </numRef>
          </cat>
          <val>
            <numRef>
              <f>'Store P&amp;L'!$C$101:$L$101</f>
            </numRef>
          </val>
          <smooth val="0"/>
        </ser>
        <ser>
          <idx val="2"/>
          <order val="2"/>
          <tx>
            <v>Small (D)</v>
          </tx>
          <spPr>
            <a:ln xmlns:a="http://schemas.openxmlformats.org/drawingml/2006/main" w="28575">
              <a:solidFill>
                <a:srgbClr val="EE6B37"/>
              </a:solidFill>
              <a:prstDash val="solid"/>
            </a:ln>
          </spPr>
          <marker>
            <symbol val="none"/>
            <spPr>
              <a:ln xmlns:a="http://schemas.openxmlformats.org/drawingml/2006/main">
                <a:prstDash val="solid"/>
              </a:ln>
            </spPr>
          </marker>
          <cat>
            <numRef>
              <f>'Store P&amp;L'!$C$99:$L$99</f>
            </numRef>
          </cat>
          <val>
            <numRef>
              <f>'Store P&amp;L'!$C$102:$L$102</f>
            </numRef>
          </val>
          <smooth val="0"/>
        </ser>
        <axId val="10"/>
        <axId val="100"/>
      </lineChart>
      <catAx>
        <axId val="10"/>
        <scaling>
          <orientation val="minMax"/>
        </scaling>
        <delete val="0"/>
        <axPos val="l"/>
        <majorTickMark val="none"/>
        <minorTickMark val="none"/>
        <tickLblPos val="low"/>
        <crossAx val="100"/>
        <lblOffset val="100"/>
      </catAx>
      <valAx>
        <axId val="100"/>
        <scaling>
          <orientation val="minMax"/>
        </scaling>
        <delete val="0"/>
        <axPos val="l"/>
        <majorGridlines/>
        <numFmt formatCode="$#,##0.0,,&quot;M&quot;" sourceLinked="0"/>
        <majorTickMark val="none"/>
        <minorTickMark val="none"/>
        <crossAx val="10"/>
      </valAx>
    </plotArea>
    <legend>
      <legendPos val="b"/>
    </legend>
    <plotVisOnly val="1"/>
    <dispBlanksAs val="gap"/>
  </chart>
</chartSpace>
</file>

<file path=xl/charts/chart5.xml><?xml version="1.0" encoding="utf-8"?>
<chartSpace xmlns="http://schemas.openxmlformats.org/drawingml/2006/chart">
  <chart>
    <title>
      <tx>
        <rich>
          <a:bodyPr xmlns:a="http://schemas.openxmlformats.org/drawingml/2006/main"/>
          <a:p xmlns:a="http://schemas.openxmlformats.org/drawingml/2006/main">
            <a:pPr>
              <a:defRPr/>
            </a:pPr>
            <a:r>
              <a:t>Each year: investment, program costs and store profit</a:t>
            </a:r>
          </a:p>
        </rich>
      </tx>
    </title>
    <plotArea>
      <barChart>
        <barDir val="col"/>
        <grouping val="clustered"/>
        <ser>
          <idx val="0"/>
          <order val="0"/>
          <tx>
            <v>Investment</v>
          </tx>
          <spPr>
            <a:solidFill xmlns:a="http://schemas.openxmlformats.org/drawingml/2006/main">
              <a:srgbClr val="842C01"/>
            </a:solidFill>
            <a:ln xmlns:a="http://schemas.openxmlformats.org/drawingml/2006/main">
              <a:solidFill>
                <a:srgbClr val="842C01"/>
              </a:solidFill>
              <a:prstDash val="solid"/>
            </a:ln>
          </spPr>
          <cat>
            <numRef>
              <f>'Program'!$C$4:$L$4</f>
            </numRef>
          </cat>
          <val>
            <numRef>
              <f>'Program'!$C$16:$L$16</f>
            </numRef>
          </val>
        </ser>
        <ser>
          <idx val="1"/>
          <order val="1"/>
          <tx>
            <v>Program running costs</v>
          </tx>
          <spPr>
            <a:solidFill xmlns:a="http://schemas.openxmlformats.org/drawingml/2006/main">
              <a:srgbClr val="BFB4AA"/>
            </a:solidFill>
            <a:ln xmlns:a="http://schemas.openxmlformats.org/drawingml/2006/main">
              <a:solidFill>
                <a:srgbClr val="BFB4AA"/>
              </a:solidFill>
              <a:prstDash val="solid"/>
            </a:ln>
          </spPr>
          <cat>
            <numRef>
              <f>'Program'!$C$4:$L$4</f>
            </numRef>
          </cat>
          <val>
            <numRef>
              <f>'Program'!$C$25:$L$25</f>
            </numRef>
          </val>
        </ser>
        <ser>
          <idx val="2"/>
          <order val="2"/>
          <tx>
            <v>Store profit</v>
          </tx>
          <spPr>
            <a:solidFill xmlns:a="http://schemas.openxmlformats.org/drawingml/2006/main">
              <a:srgbClr val="2E7D32"/>
            </a:solidFill>
            <a:ln xmlns:a="http://schemas.openxmlformats.org/drawingml/2006/main">
              <a:solidFill>
                <a:srgbClr val="2E7D32"/>
              </a:solidFill>
              <a:prstDash val="solid"/>
            </a:ln>
          </spPr>
          <cat>
            <numRef>
              <f>'Program'!$C$4:$L$4</f>
            </numRef>
          </cat>
          <val>
            <numRef>
              <f>'Program'!$C$18:$L$18</f>
            </numRef>
          </val>
        </ser>
        <gapWidth val="150"/>
        <axId val="10"/>
        <axId val="100"/>
      </barChart>
      <catAx>
        <axId val="10"/>
        <scaling>
          <orientation val="minMax"/>
        </scaling>
        <delete val="0"/>
        <axPos val="l"/>
        <majorTickMark val="none"/>
        <minorTickMark val="none"/>
        <tickLblPos val="low"/>
        <crossAx val="100"/>
        <lblOffset val="100"/>
      </catAx>
      <valAx>
        <axId val="100"/>
        <scaling>
          <orientation val="minMax"/>
        </scaling>
        <delete val="0"/>
        <axPos val="l"/>
        <majorGridlines/>
        <numFmt formatCode="$#,##0.0,,&quot;M&quot;" sourceLinked="0"/>
        <majorTickMark val="none"/>
        <minorTickMark val="none"/>
        <crossAx val="10"/>
      </valAx>
    </plotArea>
    <legend>
      <legendPos val="b"/>
    </legend>
    <plotVisOnly val="1"/>
    <dispBlanksAs val="gap"/>
  </chart>
</chartSpace>
</file>

<file path=xl/charts/chart6.xml><?xml version="1.0" encoding="utf-8"?>
<chartSpace xmlns="http://schemas.openxmlformats.org/drawingml/2006/chart">
  <chart>
    <title>
      <tx>
        <rich>
          <a:bodyPr xmlns:a="http://schemas.openxmlformats.org/drawingml/2006/main"/>
          <a:p xmlns:a="http://schemas.openxmlformats.org/drawingml/2006/main">
            <a:pPr>
              <a:defRPr/>
            </a:pPr>
            <a:r>
              <a:t>Cumulative cash</a:t>
            </a:r>
          </a:p>
        </rich>
      </tx>
    </title>
    <plotArea>
      <lineChart>
        <grouping val="standard"/>
        <ser>
          <idx val="0"/>
          <order val="0"/>
          <spPr>
            <a:ln xmlns:a="http://schemas.openxmlformats.org/drawingml/2006/main" w="28575">
              <a:solidFill>
                <a:srgbClr val="FF4F00"/>
              </a:solidFill>
              <a:prstDash val="solid"/>
            </a:ln>
          </spPr>
          <marker>
            <symbol val="none"/>
            <spPr>
              <a:ln xmlns:a="http://schemas.openxmlformats.org/drawingml/2006/main">
                <a:prstDash val="solid"/>
              </a:ln>
            </spPr>
          </marker>
          <cat>
            <numRef>
              <f>'Program'!$C$4:$L$4</f>
            </numRef>
          </cat>
          <val>
            <numRef>
              <f>'Program'!$C$28:$L$28</f>
            </numRef>
          </val>
          <smooth val="0"/>
        </ser>
        <axId val="10"/>
        <axId val="100"/>
      </lineChart>
      <catAx>
        <axId val="10"/>
        <scaling>
          <orientation val="minMax"/>
        </scaling>
        <delete val="0"/>
        <axPos val="l"/>
        <majorTickMark val="none"/>
        <minorTickMark val="none"/>
        <tickLblPos val="low"/>
        <crossAx val="100"/>
        <lblOffset val="100"/>
      </catAx>
      <valAx>
        <axId val="100"/>
        <scaling>
          <orientation val="minMax"/>
        </scaling>
        <delete val="0"/>
        <axPos val="l"/>
        <majorGridlines/>
        <numFmt formatCode="$#,##0.0,,&quot;M&quot;" sourceLinked="0"/>
        <majorTickMark val="none"/>
        <minorTickMark val="none"/>
        <crossAx val="10"/>
      </valAx>
    </plotArea>
    <plotVisOnly val="1"/>
    <dispBlanksAs val="gap"/>
  </chart>
</chartSpace>
</file>

<file path=xl/charts/chart7.xml><?xml version="1.0" encoding="utf-8"?>
<chartSpace xmlns="http://schemas.openxmlformats.org/drawingml/2006/chart">
  <chart>
    <title>
      <tx>
        <rich>
          <a:bodyPr xmlns:a="http://schemas.openxmlformats.org/drawingml/2006/main"/>
          <a:p xmlns:a="http://schemas.openxmlformats.org/drawingml/2006/main">
            <a:pPr>
              <a:defRPr/>
            </a:pPr>
            <a:r>
              <a:t>Store build, first store, by recipe</a:t>
            </a:r>
          </a:p>
        </rich>
      </tx>
    </title>
    <plotArea>
      <barChart>
        <barDir val="col"/>
        <grouping val="clustered"/>
        <ser>
          <idx val="0"/>
          <order val="0"/>
          <tx>
            <v>Lean</v>
          </tx>
          <spPr>
            <a:solidFill xmlns:a="http://schemas.openxmlformats.org/drawingml/2006/main">
              <a:srgbClr val="F4B183"/>
            </a:solidFill>
            <a:ln xmlns:a="http://schemas.openxmlformats.org/drawingml/2006/main">
              <a:solidFill>
                <a:srgbClr val="F4B183"/>
              </a:solidFill>
              <a:prstDash val="solid"/>
            </a:ln>
          </spPr>
          <cat>
            <numRef>
              <f>'Compare'!$C$5:$E$5</f>
            </numRef>
          </cat>
          <val>
            <numRef>
              <f>'Compare'!$C$6:$E$6</f>
            </numRef>
          </val>
        </ser>
        <ser>
          <idx val="1"/>
          <order val="1"/>
          <tx>
            <v>Balanced</v>
          </tx>
          <spPr>
            <a:solidFill xmlns:a="http://schemas.openxmlformats.org/drawingml/2006/main">
              <a:srgbClr val="C34501"/>
            </a:solidFill>
            <a:ln xmlns:a="http://schemas.openxmlformats.org/drawingml/2006/main">
              <a:solidFill>
                <a:srgbClr val="C34501"/>
              </a:solidFill>
              <a:prstDash val="solid"/>
            </a:ln>
          </spPr>
          <cat>
            <numRef>
              <f>'Compare'!$C$5:$E$5</f>
            </numRef>
          </cat>
          <val>
            <numRef>
              <f>'Compare'!$C$7:$E$7</f>
            </numRef>
          </val>
        </ser>
        <ser>
          <idx val="2"/>
          <order val="2"/>
          <tx>
            <v>Showcase</v>
          </tx>
          <spPr>
            <a:solidFill xmlns:a="http://schemas.openxmlformats.org/drawingml/2006/main">
              <a:srgbClr val="842C01"/>
            </a:solidFill>
            <a:ln xmlns:a="http://schemas.openxmlformats.org/drawingml/2006/main">
              <a:solidFill>
                <a:srgbClr val="842C01"/>
              </a:solidFill>
              <a:prstDash val="solid"/>
            </a:ln>
          </spPr>
          <cat>
            <numRef>
              <f>'Compare'!$C$5:$E$5</f>
            </numRef>
          </cat>
          <val>
            <numRef>
              <f>'Compare'!$C$8:$E$8</f>
            </numRef>
          </val>
        </ser>
        <gapWidth val="150"/>
        <axId val="10"/>
        <axId val="100"/>
      </barChart>
      <catAx>
        <axId val="10"/>
        <scaling>
          <orientation val="minMax"/>
        </scaling>
        <delete val="0"/>
        <axPos val="l"/>
        <majorTickMark val="none"/>
        <minorTickMark val="none"/>
        <tickLblPos val="low"/>
        <crossAx val="100"/>
        <lblOffset val="100"/>
      </catAx>
      <valAx>
        <axId val="100"/>
        <scaling>
          <orientation val="minMax"/>
        </scaling>
        <delete val="0"/>
        <axPos val="l"/>
        <majorGridlines/>
        <numFmt formatCode="$#,##0,&quot;K&quot;" sourceLinked="0"/>
        <majorTickMark val="none"/>
        <minorTickMark val="none"/>
        <crossAx val="10"/>
      </valAx>
    </plotArea>
    <legend>
      <legendPos val="b"/>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_rels/drawing2.xml.rels><Relationships xmlns="http://schemas.openxmlformats.org/package/2006/relationships"><Relationship Type="http://schemas.openxmlformats.org/officeDocument/2006/relationships/chart" Target="/xl/charts/chart3.xml" Id="rId1"/></Relationships>
</file>

<file path=xl/drawings/_rels/drawing3.xml.rels><Relationships xmlns="http://schemas.openxmlformats.org/package/2006/relationships"><Relationship Type="http://schemas.openxmlformats.org/officeDocument/2006/relationships/chart" Target="/xl/charts/chart4.xml" Id="rId1"/></Relationships>
</file>

<file path=xl/drawings/_rels/drawing4.xml.rels><Relationships xmlns="http://schemas.openxmlformats.org/package/2006/relationships"><Relationship Type="http://schemas.openxmlformats.org/officeDocument/2006/relationships/chart" Target="/xl/charts/chart5.xml" Id="rId1"/><Relationship Type="http://schemas.openxmlformats.org/officeDocument/2006/relationships/chart" Target="/xl/charts/chart6.xml" Id="rId2"/></Relationships>
</file>

<file path=xl/drawings/_rels/drawing5.xml.rels><Relationships xmlns="http://schemas.openxmlformats.org/package/2006/relationships"><Relationship Type="http://schemas.openxmlformats.org/officeDocument/2006/relationships/chart" Target="/xl/charts/chart7.xml" Id="rId1"/></Relationships>
</file>

<file path=xl/drawings/drawing1.xml><?xml version="1.0" encoding="utf-8"?>
<wsDr xmlns="http://schemas.openxmlformats.org/drawingml/2006/spreadsheetDrawing">
  <oneCellAnchor>
    <from>
      <col>7</col>
      <colOff>0</colOff>
      <row>35</row>
      <rowOff>0</rowOff>
    </from>
    <ext cx="7560000" cy="306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7</col>
      <colOff>0</colOff>
      <row>53</row>
      <rowOff>0</rowOff>
    </from>
    <ext cx="7560000" cy="306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drawings/drawing2.xml><?xml version="1.0" encoding="utf-8"?>
<wsDr xmlns="http://schemas.openxmlformats.org/drawingml/2006/spreadsheetDrawing">
  <oneCellAnchor>
    <from>
      <col>1</col>
      <colOff>0</colOff>
      <row>45</row>
      <rowOff>0</rowOff>
    </from>
    <ext cx="792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3.xml><?xml version="1.0" encoding="utf-8"?>
<wsDr xmlns="http://schemas.openxmlformats.org/drawingml/2006/spreadsheetDrawing">
  <oneCellAnchor>
    <from>
      <col>1</col>
      <colOff>0</colOff>
      <row>103</row>
      <rowOff>0</rowOff>
    </from>
    <ext cx="792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4.xml><?xml version="1.0" encoding="utf-8"?>
<wsDr xmlns="http://schemas.openxmlformats.org/drawingml/2006/spreadsheetDrawing">
  <oneCellAnchor>
    <from>
      <col>1</col>
      <colOff>0</colOff>
      <row>54</row>
      <rowOff>0</rowOff>
    </from>
    <ext cx="792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7</col>
      <colOff>0</colOff>
      <row>54</row>
      <rowOff>0</rowOff>
    </from>
    <ext cx="5760000" cy="324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drawings/drawing5.xml><?xml version="1.0" encoding="utf-8"?>
<wsDr xmlns="http://schemas.openxmlformats.org/drawingml/2006/spreadsheetDrawing">
  <oneCellAnchor>
    <from>
      <col>12</col>
      <colOff>0</colOff>
      <row>3</row>
      <rowOff>0</rowOff>
    </from>
    <ext cx="5760000" cy="306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Control Panel'!A1" TargetMode="External" Id="rId1"/><Relationship Type="http://schemas.openxmlformats.org/officeDocument/2006/relationships/hyperlink" Target="#'Switchboard'!A1" TargetMode="External" Id="rId2"/><Relationship Type="http://schemas.openxmlformats.org/officeDocument/2006/relationships/hyperlink" Target="#'Melbourne'!A1" TargetMode="External" Id="rId3"/><Relationship Type="http://schemas.openxmlformats.org/officeDocument/2006/relationships/hyperlink" Target="#'Program'!A1" TargetMode="External" Id="rId4"/><Relationship Type="http://schemas.openxmlformats.org/officeDocument/2006/relationships/hyperlink" Target="#'Control Panel'!A1" TargetMode="External" Id="rId5"/><Relationship Type="http://schemas.openxmlformats.org/officeDocument/2006/relationships/hyperlink" Target="#'Switchboard'!A1" TargetMode="External" Id="rId6"/><Relationship Type="http://schemas.openxmlformats.org/officeDocument/2006/relationships/hyperlink" Target="#'Scale'!A1" TargetMode="External" Id="rId7"/><Relationship Type="http://schemas.openxmlformats.org/officeDocument/2006/relationships/hyperlink" Target="#'Store P&amp;L'!A1" TargetMode="External" Id="rId8"/><Relationship Type="http://schemas.openxmlformats.org/officeDocument/2006/relationships/hyperlink" Target="#'Melbourne'!A1" TargetMode="External" Id="rId9"/><Relationship Type="http://schemas.openxmlformats.org/officeDocument/2006/relationships/hyperlink" Target="#'Rollout'!A1" TargetMode="External" Id="rId10"/><Relationship Type="http://schemas.openxmlformats.org/officeDocument/2006/relationships/hyperlink" Target="#'Program'!A1" TargetMode="External" Id="rId11"/><Relationship Type="http://schemas.openxmlformats.org/officeDocument/2006/relationships/hyperlink" Target="#'Compare'!A1" TargetMode="External" Id="rId12"/><Relationship Type="http://schemas.openxmlformats.org/officeDocument/2006/relationships/hyperlink" Target="#'Notes'!A1" TargetMode="External" Id="rId13"/><Relationship Type="http://schemas.openxmlformats.org/officeDocument/2006/relationships/hyperlink" Target="https://public.tableau.com/views/MelbourneSiteTiering/SiteTiering" TargetMode="External" Id="rId14"/><Relationship Type="http://schemas.openxmlformats.org/officeDocument/2006/relationships/hyperlink" Target="https://senergunsel.com/projects/melbourne-site-tiering/" TargetMode="External" Id="rId15"/></Relationships>
</file>

<file path=xl/worksheets/_rels/sheet2.xml.rels><Relationships xmlns="http://schemas.openxmlformats.org/package/2006/relationships"><Relationship Type="http://schemas.openxmlformats.org/officeDocument/2006/relationships/drawing" Target="/xl/drawings/drawing1.xml" Id="rId1"/></Relationships>
</file>

<file path=xl/worksheets/_rels/sheet4.xml.rels><Relationships xmlns="http://schemas.openxmlformats.org/package/2006/relationships"><Relationship Type="http://schemas.openxmlformats.org/officeDocument/2006/relationships/drawing" Target="/xl/drawings/drawing2.xml" Id="rId1"/></Relationships>
</file>

<file path=xl/worksheets/_rels/sheet5.xml.rels><Relationships xmlns="http://schemas.openxmlformats.org/package/2006/relationships"><Relationship Type="http://schemas.openxmlformats.org/officeDocument/2006/relationships/drawing" Target="/xl/drawings/drawing3.xml" Id="rId1"/></Relationships>
</file>

<file path=xl/worksheets/_rels/sheet8.xml.rels><Relationships xmlns="http://schemas.openxmlformats.org/package/2006/relationships"><Relationship Type="http://schemas.openxmlformats.org/officeDocument/2006/relationships/drawing" Target="/xl/drawings/drawing4.xml" Id="rId1"/></Relationships>
</file>

<file path=xl/worksheets/_rels/sheet9.xml.rels><Relationships xmlns="http://schemas.openxmlformats.org/package/2006/relationships"><Relationship Type="http://schemas.openxmlformats.org/officeDocument/2006/relationships/drawing" Target="/xl/drawings/drawing5.xml" Id="rId1"/></Relationships>
</file>

<file path=xl/worksheets/sheet1.xml><?xml version="1.0" encoding="utf-8"?>
<worksheet xmlns="http://schemas.openxmlformats.org/spreadsheetml/2006/main">
  <sheetPr>
    <tabColor rgb="00FF4F00"/>
    <outlinePr summaryBelow="1" summaryRight="1"/>
    <pageSetUpPr fitToPage="1"/>
  </sheetPr>
  <dimension ref="B1:F59"/>
  <sheetViews>
    <sheetView showGridLines="0" zoomScale="100" workbookViewId="0">
      <selection activeCell="A1" sqref="A1"/>
    </sheetView>
  </sheetViews>
  <sheetFormatPr baseColWidth="8" defaultRowHeight="15"/>
  <cols>
    <col width="2" customWidth="1" min="1" max="1"/>
    <col width="5" customWidth="1" min="2" max="2"/>
    <col width="22" customWidth="1" min="3" max="3"/>
    <col width="62" customWidth="1" min="4" max="4"/>
    <col width="26" customWidth="1" min="5" max="5"/>
    <col width="56" customWidth="1" min="6" max="6"/>
    <col width="3" customWidth="1" min="7" max="7"/>
  </cols>
  <sheetData>
    <row r="1" ht="42" customHeight="1">
      <c r="B1" s="1" t="inlineStr">
        <is>
          <t>Retail Model Playground</t>
        </is>
      </c>
    </row>
    <row r="2">
      <c r="B2" s="2" t="inlineStr">
        <is>
          <t>Open flagships, standard stores and small stores. See what each costs, how the cost falls as you grow, which streets can pay it back, and when the whole rollout pays for itself.</t>
        </is>
      </c>
    </row>
    <row r="3">
      <c r="B3" s="3" t="inlineStr">
        <is>
          <t>Sener Can Gunsel · senergunsel.com · Version 17, October 2026 · Every cost and store number is illustrative and anonymized · Street data: City of Melbourne Open Data</t>
        </is>
      </c>
    </row>
    <row r="5" ht="20" customHeight="1">
      <c r="B5" s="4" t="inlineStr">
        <is>
          <t>How to play</t>
        </is>
      </c>
      <c r="C5" s="5" t="n"/>
      <c r="D5" s="5" t="n"/>
      <c r="E5" s="5" t="n"/>
      <c r="F5" s="5" t="n"/>
    </row>
    <row r="6" ht="20" customHeight="1">
      <c r="B6" s="6" t="n">
        <v>1</v>
      </c>
      <c r="C6" s="7" t="inlineStr">
        <is>
          <t>Control Panel</t>
        </is>
      </c>
      <c r="D6" s="8" t="inlineStr">
        <is>
          <t>Pick a recipe for each store size (Lean, Balanced or Showcase), how fast you open, and how quickly costs fall.</t>
        </is>
      </c>
    </row>
    <row r="7" ht="20" customHeight="1">
      <c r="B7" s="6" t="n">
        <v>2</v>
      </c>
      <c r="C7" s="7" t="inlineStr">
        <is>
          <t>Switchboard</t>
        </is>
      </c>
      <c r="D7" s="8" t="inlineStr">
        <is>
          <t>Flip any line of a store's build ON or OFF, or type your own amount. Bucket switches turn whole groups off.</t>
        </is>
      </c>
    </row>
    <row r="8" ht="20" customHeight="1">
      <c r="B8" s="6" t="n">
        <v>3</v>
      </c>
      <c r="C8" s="7" t="inlineStr">
        <is>
          <t>Melbourne</t>
        </is>
      </c>
      <c r="D8" s="8" t="inlineStr">
        <is>
          <t>Watch which of the 78 streets can pay a store back, from the dashboard's quick test to a full store P&amp;L.</t>
        </is>
      </c>
    </row>
    <row r="9" ht="20" customHeight="1">
      <c r="B9" s="6" t="n">
        <v>4</v>
      </c>
      <c r="C9" s="7" t="inlineStr">
        <is>
          <t>Program</t>
        </is>
      </c>
      <c r="D9" s="8" t="inlineStr">
        <is>
          <t>See the cash you need, when the rollout pays for itself, and what it's worth.</t>
        </is>
      </c>
    </row>
    <row r="10">
      <c r="C10" s="9" t="inlineStr">
        <is>
          <t>Yellow cells are yours to change. Everything else is a formula and updates on its own.</t>
        </is>
      </c>
    </row>
    <row r="12" ht="20" customHeight="1">
      <c r="B12" s="4" t="inlineStr">
        <is>
          <t>Challenges</t>
        </is>
      </c>
      <c r="C12" s="5" t="n"/>
      <c r="D12" s="5" t="n"/>
      <c r="E12" s="5" t="n"/>
      <c r="F12" s="5" t="n"/>
    </row>
    <row r="13" ht="18" customHeight="1">
      <c r="B13" s="10" t="inlineStr">
        <is>
          <t>#</t>
        </is>
      </c>
      <c r="C13" s="11" t="inlineStr">
        <is>
          <t>Challenge</t>
        </is>
      </c>
      <c r="E13" s="11" t="inlineStr">
        <is>
          <t>Status</t>
        </is>
      </c>
      <c r="F13" s="11" t="inlineStr">
        <is>
          <t>Hint</t>
        </is>
      </c>
    </row>
    <row r="14" ht="30" customHeight="1">
      <c r="B14" s="12" t="n">
        <v>1</v>
      </c>
      <c r="C14" s="13" t="inlineStr">
        <is>
          <t>Lean flagship: get the first flagship's build under $1.2M and keep every flagship street paying back.</t>
        </is>
      </c>
      <c r="E14" s="14" t="str">
        <f>IF(AND(Pilot_SPLUS&lt;1200000,Melbourne!D8=Melbourne!D7,Melbourne!D7&gt;0),"Done","Not yet")</f>
        <v>Not yet</v>
      </c>
      <c r="F14" s="15" t="inlineStr">
        <is>
          <t>Try the Lean recipe for the flagship, or switch off its big-ticket tech.</t>
        </is>
      </c>
    </row>
    <row r="15" ht="30" customHeight="1">
      <c r="B15" s="12" t="n">
        <v>2</v>
      </c>
      <c r="C15" s="13" t="inlineStr">
        <is>
          <t>Open up Melbourne: make 65 of the 78 streets pay back on the dashboard test.</t>
        </is>
      </c>
      <c r="E15" s="14" t="str">
        <f>IF(Melbourne!G8&gt;=65,"Done","Not yet: "&amp;Melbourne!G8&amp;" of 78")</f>
        <v>Not yet: 59 of 78</v>
      </c>
      <c r="F15" s="15" t="inlineStr">
        <is>
          <t>Cheaper standard and small stores let quieter streets in.</t>
        </is>
      </c>
    </row>
    <row r="16" ht="30" customHeight="1">
      <c r="B16" s="12" t="n">
        <v>3</v>
      </c>
      <c r="C16" s="13" t="inlineStr">
        <is>
          <t>No passengers: run 30 or more stores where every store repays its build within 5 years.</t>
        </is>
      </c>
      <c r="E16" s="14" t="str">
        <f>IF(AND(PlanStores&gt;=30,StoresRepay5=PlanStores),"Done","Not yet: "&amp;StoresRepay5&amp;" of "&amp;PlanStores)</f>
        <v>Not yet: 25 of 30</v>
      </c>
      <c r="F16" s="15" t="inlineStr">
        <is>
          <t>Let the full store P&amp;L pick the streets.</t>
        </is>
      </c>
    </row>
    <row r="17" ht="30" customHeight="1">
      <c r="B17" s="12" t="n">
        <v>4</v>
      </c>
      <c r="C17" s="13" t="inlineStr">
        <is>
          <t>Quick return: get the whole program back above zero cash by the end of Year 5.</t>
        </is>
      </c>
      <c r="E17" s="14" t="str">
        <f>IF(AND(PlanStores&gt;0,PaybackYearNum&lt;=5),"Done","Not yet: "&amp;PaybackText)</f>
        <v>Not yet: Year 6</v>
      </c>
      <c r="F17" s="15" t="inlineStr">
        <is>
          <t>Leaner builds, faster learning and better streets all help.</t>
        </is>
      </c>
    </row>
    <row r="18" ht="30" customHeight="1">
      <c r="B18" s="12" t="n">
        <v>5</v>
      </c>
      <c r="C18" s="13" t="inlineStr">
        <is>
          <t>Showcase that sells: Showcase recipe for all three sizes and still an NPV above $40M.</t>
        </is>
      </c>
      <c r="E18" s="14" t="str">
        <f>IF(AND(Recipe_SPLUS="Showcase",Recipe_S="Showcase",Recipe_D="Showcase",NPVProgram&gt;=40000000),"Done","Not yet")</f>
        <v>Not yet</v>
      </c>
      <c r="F18" s="15" t="inlineStr">
        <is>
          <t>Expensive stores need the best streets: choose them with the full P&amp;L.</t>
        </is>
      </c>
    </row>
    <row r="19" ht="30" customHeight="1">
      <c r="B19" s="12" t="n">
        <v>6</v>
      </c>
      <c r="C19" s="13" t="inlineStr">
        <is>
          <t>Go big: 60 or more stores while keeping the peak cash need under $12M.</t>
        </is>
      </c>
      <c r="E19" s="14" t="str">
        <f>IF(AND(PlanStores&gt;=60,PeakNeed&lt;12000000),"Done","Not yet")</f>
        <v>Not yet</v>
      </c>
      <c r="F19" s="15" t="inlineStr">
        <is>
          <t>Open faster in the later years and keep the weak streets out.</t>
        </is>
      </c>
    </row>
    <row r="20">
      <c r="C20" s="16" t="inlineStr">
        <is>
          <t>Challenges done</t>
        </is>
      </c>
      <c r="E20" s="14" t="str">
        <f>COUNTIF(E14:E19,"Done")&amp;" of 6"</f>
        <v>0 of 6</v>
      </c>
    </row>
    <row r="22" ht="20" customHeight="1">
      <c r="B22" s="4" t="inlineStr">
        <is>
          <t>Your results right now</t>
        </is>
      </c>
      <c r="C22" s="5" t="n"/>
      <c r="D22" s="5" t="n"/>
      <c r="E22" s="5" t="n"/>
      <c r="F22" s="5" t="n"/>
    </row>
    <row r="23">
      <c r="C23" s="8" t="inlineStr">
        <is>
          <t>First flagship's build (store build, first store)</t>
        </is>
      </c>
      <c r="E23" s="17">
        <f>Pilot_SPLUS</f>
        <v>1416330</v>
      </c>
    </row>
    <row r="24">
      <c r="C24" s="8" t="inlineStr">
        <is>
          <t>Melbourne streets that pay back (dashboard test)</t>
        </is>
      </c>
      <c r="E24" s="18" t="str">
        <f>Melbourne!G8&amp;" of 78"</f>
        <v>59 of 78</v>
      </c>
    </row>
    <row r="25">
      <c r="C25" s="8" t="inlineStr">
        <is>
          <t>Same result as the live Tableau dashboard?</t>
        </is>
      </c>
      <c r="E25" s="19" t="str">
        <f>Melbourne!C40</f>
        <v>Yes: 59 of 78 streets, same as the live dashboard</v>
      </c>
    </row>
    <row r="26">
      <c r="C26" s="8" t="inlineStr">
        <is>
          <t>Stores in your rollout</t>
        </is>
      </c>
      <c r="E26" s="20">
        <f>PlanStores</f>
        <v>30</v>
      </c>
    </row>
    <row r="27">
      <c r="C27" s="8" t="inlineStr">
        <is>
          <t>Total investment</t>
        </is>
      </c>
      <c r="E27" s="17">
        <f>TotalInvest</f>
        <v>28173107.1962436</v>
      </c>
    </row>
    <row r="28">
      <c r="C28" s="8" t="inlineStr">
        <is>
          <t>Peak cash needed</t>
        </is>
      </c>
      <c r="E28" s="17">
        <f>PeakNeed</f>
        <v>8369720.00913447</v>
      </c>
    </row>
    <row r="29">
      <c r="C29" s="8" t="inlineStr">
        <is>
          <t>Pays back in</t>
        </is>
      </c>
      <c r="E29" s="18" t="str">
        <f>PaybackText</f>
        <v>Year 6</v>
      </c>
    </row>
    <row r="30">
      <c r="C30" s="8" t="inlineStr">
        <is>
          <t>NPV of the 10 years</t>
        </is>
      </c>
      <c r="E30" s="21">
        <f>NPVProgram</f>
        <v>36135184.0917513</v>
      </c>
    </row>
    <row r="32" ht="20" customHeight="1">
      <c r="B32" s="4" t="inlineStr">
        <is>
          <t>What's in the workbook</t>
        </is>
      </c>
      <c r="C32" s="5" t="n"/>
      <c r="D32" s="5" t="n"/>
      <c r="E32" s="5" t="n"/>
      <c r="F32" s="5" t="n"/>
    </row>
    <row r="33">
      <c r="C33" s="22" t="inlineStr">
        <is>
          <t>Control Panel</t>
        </is>
      </c>
      <c r="D33" s="8" t="inlineStr">
        <is>
          <t>The levers and the headline results.</t>
        </is>
      </c>
    </row>
    <row r="34">
      <c r="C34" s="22" t="inlineStr">
        <is>
          <t>Switchboard</t>
        </is>
      </c>
      <c r="D34" s="8" t="inlineStr">
        <is>
          <t>Every line of a store's build, by size, with ON and OFF switches and your own amounts.</t>
        </is>
      </c>
    </row>
    <row r="35">
      <c r="C35" s="22" t="inlineStr">
        <is>
          <t>Scale</t>
        </is>
      </c>
      <c r="D35" s="8" t="inlineStr">
        <is>
          <t>How learning and price breaks cut the cost of each new store; the scale outlook presets.</t>
        </is>
      </c>
    </row>
    <row r="36">
      <c r="C36" s="22" t="inlineStr">
        <is>
          <t>Store P&amp;L</t>
        </is>
      </c>
      <c r="D36" s="8" t="inlineStr">
        <is>
          <t>What one store earns: sales, margins, running costs and payback, for a typical street.</t>
        </is>
      </c>
    </row>
    <row r="37">
      <c r="C37" s="22" t="inlineStr">
        <is>
          <t>Melbourne</t>
        </is>
      </c>
      <c r="D37" s="8" t="inlineStr">
        <is>
          <t>The 78 streets and four payback tests, and the values to type into the Tableau dashboard.</t>
        </is>
      </c>
    </row>
    <row r="38">
      <c r="C38" s="22" t="inlineStr">
        <is>
          <t>Rollout</t>
        </is>
      </c>
      <c r="D38" s="8" t="inlineStr">
        <is>
          <t>Every store in opening order: its size, build, street and profit.</t>
        </is>
      </c>
    </row>
    <row r="39">
      <c r="C39" s="22" t="inlineStr">
        <is>
          <t>Program</t>
        </is>
      </c>
      <c r="D39" s="8" t="inlineStr">
        <is>
          <t>The whole rollout year by year: investment, profit, cash, payback and NPV.</t>
        </is>
      </c>
    </row>
    <row r="40">
      <c r="C40" s="22" t="inlineStr">
        <is>
          <t>Compare</t>
        </is>
      </c>
      <c r="D40" s="8" t="inlineStr">
        <is>
          <t>Recipes and scale outlooks side by side, and a table to save your runs.</t>
        </is>
      </c>
    </row>
    <row r="41">
      <c r="C41" s="22" t="inlineStr">
        <is>
          <t>Notes</t>
        </is>
      </c>
      <c r="D41" s="8" t="inlineStr">
        <is>
          <t>How it works, every assumption, and a glossary.</t>
        </is>
      </c>
    </row>
    <row r="43" ht="20" customHeight="1">
      <c r="B43" s="4" t="inlineStr">
        <is>
          <t>Colour key</t>
        </is>
      </c>
      <c r="C43" s="5" t="n"/>
      <c r="D43" s="5" t="n"/>
      <c r="E43" s="5" t="n"/>
      <c r="F43" s="5" t="n"/>
    </row>
    <row r="44">
      <c r="C44" s="23" t="inlineStr">
        <is>
          <t>12,000</t>
        </is>
      </c>
      <c r="D44" s="8" t="inlineStr">
        <is>
          <t>A number you can change</t>
        </is>
      </c>
    </row>
    <row r="45">
      <c r="C45" s="23" t="inlineStr">
        <is>
          <t>ON</t>
        </is>
      </c>
      <c r="D45" s="8" t="inlineStr">
        <is>
          <t>A switch you can flip (pick from the list)</t>
        </is>
      </c>
    </row>
    <row r="46">
      <c r="C46" s="24" t="inlineStr">
        <is>
          <t>$1,416,330</t>
        </is>
      </c>
      <c r="D46" s="8" t="inlineStr">
        <is>
          <t>Calculated</t>
        </is>
      </c>
    </row>
    <row r="47">
      <c r="C47" s="25" t="inlineStr">
        <is>
          <t>$1,416,330</t>
        </is>
      </c>
      <c r="D47" s="8" t="inlineStr">
        <is>
          <t>Pulled from another sheet</t>
        </is>
      </c>
    </row>
    <row r="48">
      <c r="C48" s="26" t="inlineStr">
        <is>
          <t>0.000</t>
        </is>
      </c>
      <c r="D48" s="8" t="inlineStr">
        <is>
          <t>Workings (grey)</t>
        </is>
      </c>
    </row>
    <row r="49">
      <c r="C49" s="27" t="inlineStr">
        <is>
          <t>Your call</t>
        </is>
      </c>
      <c r="D49" s="8" t="inlineStr">
        <is>
          <t>A switch or amount you've changed from the recipe</t>
        </is>
      </c>
    </row>
    <row r="50">
      <c r="C50" s="28" t="inlineStr">
        <is>
          <t>SPLUS</t>
        </is>
      </c>
      <c r="D50" s="8" t="inlineStr">
        <is>
          <t>Flagship store (3,400 ft² by default). Same colours as the Tableau dashboard.</t>
        </is>
      </c>
    </row>
    <row r="51">
      <c r="C51" s="29" t="inlineStr">
        <is>
          <t>S</t>
        </is>
      </c>
      <c r="D51" s="8" t="inlineStr">
        <is>
          <t>Standard store (1,650 ft² by default). Same colours as the Tableau dashboard.</t>
        </is>
      </c>
    </row>
    <row r="52">
      <c r="C52" s="30" t="inlineStr">
        <is>
          <t>D</t>
        </is>
      </c>
      <c r="D52" s="8" t="inlineStr">
        <is>
          <t>Small store (900 ft² by default). Same colours as the Tableau dashboard.</t>
        </is>
      </c>
    </row>
    <row r="54" ht="20" customHeight="1">
      <c r="B54" s="4" t="inlineStr">
        <is>
          <t>The Tableau half</t>
        </is>
      </c>
      <c r="C54" s="5" t="n"/>
      <c r="D54" s="5" t="n"/>
      <c r="E54" s="5" t="n"/>
      <c r="F54" s="5" t="n"/>
    </row>
    <row r="55" ht="18" customHeight="1">
      <c r="C55" s="31" t="inlineStr">
        <is>
          <t>This workbook and the Melbourne Site Tiering dashboard on Tableau Public use the same 78 streets, the same sizing rule and the same defaults. At those defaults both say 59 of the 78 streets can repay a store's build in three years, with a mix of 24% flagships, 49% standard stores and 27% small stores. That mix sets the store sizes in the rollout here. The Melbourne sheet goes further: three more tests, a full store P&amp;L, and the exact slider values to type into Tableau.</t>
        </is>
      </c>
    </row>
    <row r="56" ht="18" customHeight="1"/>
    <row r="57" ht="18" customHeight="1"/>
    <row r="58">
      <c r="C58" s="22" t="inlineStr">
        <is>
          <t>Open the dashboard on Tableau Public</t>
        </is>
      </c>
    </row>
    <row r="59">
      <c r="C59" s="22" t="inlineStr">
        <is>
          <t>Read about it on senergunsel.com</t>
        </is>
      </c>
    </row>
  </sheetData>
  <mergeCells count="42">
    <mergeCell ref="C24:D24"/>
    <mergeCell ref="C30:D30"/>
    <mergeCell ref="C15:D15"/>
    <mergeCell ref="D41:F41"/>
    <mergeCell ref="C58:D58"/>
    <mergeCell ref="C14:D14"/>
    <mergeCell ref="D48:F48"/>
    <mergeCell ref="D52:F52"/>
    <mergeCell ref="D7:F7"/>
    <mergeCell ref="C26:D26"/>
    <mergeCell ref="D47:F47"/>
    <mergeCell ref="C20:D20"/>
    <mergeCell ref="C29:D29"/>
    <mergeCell ref="C16:D16"/>
    <mergeCell ref="D37:F37"/>
    <mergeCell ref="C25:D25"/>
    <mergeCell ref="D9:F9"/>
    <mergeCell ref="D39:F39"/>
    <mergeCell ref="D8:F8"/>
    <mergeCell ref="D33:F33"/>
    <mergeCell ref="C59:D59"/>
    <mergeCell ref="D51:F51"/>
    <mergeCell ref="D38:F38"/>
    <mergeCell ref="C27:D27"/>
    <mergeCell ref="D35:F35"/>
    <mergeCell ref="D50:F50"/>
    <mergeCell ref="D44:F44"/>
    <mergeCell ref="C17:D17"/>
    <mergeCell ref="C23:D23"/>
    <mergeCell ref="D34:F34"/>
    <mergeCell ref="E25:F25"/>
    <mergeCell ref="D46:F46"/>
    <mergeCell ref="C19:D19"/>
    <mergeCell ref="D40:F40"/>
    <mergeCell ref="D36:F36"/>
    <mergeCell ref="C28:D28"/>
    <mergeCell ref="C55:F57"/>
    <mergeCell ref="C13:D13"/>
    <mergeCell ref="D45:F45"/>
    <mergeCell ref="C18:D18"/>
    <mergeCell ref="D6:F6"/>
    <mergeCell ref="D49:F49"/>
  </mergeCells>
  <conditionalFormatting sqref="E14:E19">
    <cfRule type="expression" priority="1" dxfId="0">
      <formula>E14="Done"</formula>
    </cfRule>
    <cfRule type="expression" priority="2" dxfId="1">
      <formula>E14&lt;&gt;"Done"</formula>
    </cfRule>
  </conditionalFormatting>
  <conditionalFormatting sqref="E25">
    <cfRule type="expression" priority="3" dxfId="0">
      <formula>LEFT(E25,3)="Yes"</formula>
    </cfRule>
    <cfRule type="expression" priority="4" dxfId="2">
      <formula>LEFT(E25,3)&lt;&gt;"Yes"</formula>
    </cfRule>
  </conditionalFormatting>
  <hyperlinks>
    <hyperlink xmlns:r="http://schemas.openxmlformats.org/officeDocument/2006/relationships" ref="C6" r:id="rId1"/>
    <hyperlink xmlns:r="http://schemas.openxmlformats.org/officeDocument/2006/relationships" ref="C7" r:id="rId2"/>
    <hyperlink xmlns:r="http://schemas.openxmlformats.org/officeDocument/2006/relationships" ref="C8" r:id="rId3"/>
    <hyperlink xmlns:r="http://schemas.openxmlformats.org/officeDocument/2006/relationships" ref="C9" r:id="rId4"/>
    <hyperlink xmlns:r="http://schemas.openxmlformats.org/officeDocument/2006/relationships" ref="C33" r:id="rId5"/>
    <hyperlink xmlns:r="http://schemas.openxmlformats.org/officeDocument/2006/relationships" ref="C34" r:id="rId6"/>
    <hyperlink xmlns:r="http://schemas.openxmlformats.org/officeDocument/2006/relationships" ref="C35" r:id="rId7"/>
    <hyperlink xmlns:r="http://schemas.openxmlformats.org/officeDocument/2006/relationships" ref="C36" r:id="rId8"/>
    <hyperlink xmlns:r="http://schemas.openxmlformats.org/officeDocument/2006/relationships" ref="C37" r:id="rId9"/>
    <hyperlink xmlns:r="http://schemas.openxmlformats.org/officeDocument/2006/relationships" ref="C38" r:id="rId10"/>
    <hyperlink xmlns:r="http://schemas.openxmlformats.org/officeDocument/2006/relationships" ref="C39" r:id="rId11"/>
    <hyperlink xmlns:r="http://schemas.openxmlformats.org/officeDocument/2006/relationships" ref="C40" r:id="rId12"/>
    <hyperlink xmlns:r="http://schemas.openxmlformats.org/officeDocument/2006/relationships" ref="C41" r:id="rId13"/>
    <hyperlink xmlns:r="http://schemas.openxmlformats.org/officeDocument/2006/relationships" ref="C58" r:id="rId14"/>
    <hyperlink xmlns:r="http://schemas.openxmlformats.org/officeDocument/2006/relationships" ref="C59" r:id="rId15"/>
  </hyperlinks>
  <pageMargins left="0.75" right="0.75" top="1" bottom="1" header="0.5" footer="0.5"/>
  <pageSetup orientation="landscape" fitToHeight="0" fitToWidth="1"/>
</worksheet>
</file>

<file path=xl/worksheets/sheet2.xml><?xml version="1.0" encoding="utf-8"?>
<worksheet xmlns="http://schemas.openxmlformats.org/spreadsheetml/2006/main">
  <sheetPr>
    <tabColor rgb="00FF4F00"/>
    <outlinePr summaryBelow="1" summaryRight="1"/>
    <pageSetUpPr fitToPage="1"/>
  </sheetPr>
  <dimension ref="B1:L59"/>
  <sheetViews>
    <sheetView showGridLines="0" zoomScale="100" workbookViewId="0">
      <selection activeCell="A1" sqref="A1"/>
    </sheetView>
  </sheetViews>
  <sheetFormatPr baseColWidth="8" defaultRowHeight="15"/>
  <cols>
    <col width="2" customWidth="1" min="1" max="1"/>
    <col width="46" customWidth="1" min="2" max="2"/>
    <col width="28" customWidth="1" min="3" max="3"/>
    <col width="14" customWidth="1" min="4" max="4"/>
    <col width="16" customWidth="1" min="5" max="5"/>
    <col width="66" customWidth="1" min="6" max="6"/>
    <col width="3" customWidth="1" min="7" max="7"/>
    <col width="50" customWidth="1" min="8" max="8"/>
    <col width="14" customWidth="1" min="9" max="9"/>
    <col width="14" customWidth="1" min="10" max="10"/>
    <col width="14" customWidth="1" min="11" max="11"/>
    <col width="14" customWidth="1" min="12" max="12"/>
  </cols>
  <sheetData>
    <row r="1" ht="30" customHeight="1">
      <c r="B1" s="32" t="inlineStr">
        <is>
          <t>Control Panel</t>
        </is>
      </c>
    </row>
    <row r="2">
      <c r="B2" s="33" t="inlineStr">
        <is>
          <t>Change the yellow cells. Everything else in the workbook follows. Blue = your input, black = calculated, green = pulled from another sheet.</t>
        </is>
      </c>
    </row>
    <row r="4" ht="20" customHeight="1">
      <c r="B4" s="4" t="inlineStr">
        <is>
          <t>1   What each store is made of</t>
        </is>
      </c>
      <c r="C4" s="5" t="n"/>
      <c r="D4" s="5" t="n"/>
      <c r="E4" s="5" t="n"/>
      <c r="F4" s="5" t="n"/>
      <c r="H4" s="4" t="inlineStr">
        <is>
          <t>Results</t>
        </is>
      </c>
      <c r="I4" s="5" t="n"/>
      <c r="J4" s="5" t="n"/>
      <c r="K4" s="5" t="n"/>
      <c r="L4" s="5" t="n"/>
    </row>
    <row r="5">
      <c r="B5" s="10" t="inlineStr">
        <is>
          <t>Store size</t>
        </is>
      </c>
      <c r="C5" s="11" t="inlineStr">
        <is>
          <t>Recipe</t>
        </is>
      </c>
      <c r="D5" s="11" t="inlineStr">
        <is>
          <t>Floor area (ft²)</t>
        </is>
      </c>
      <c r="E5" s="11" t="inlineStr">
        <is>
          <t>Store build, first store</t>
        </is>
      </c>
      <c r="F5" s="11" t="inlineStr">
        <is>
          <t>Notes</t>
        </is>
      </c>
      <c r="H5" s="10" t="inlineStr">
        <is>
          <t>First store and scale</t>
        </is>
      </c>
      <c r="I5" s="28" t="inlineStr">
        <is>
          <t>SPLUS</t>
        </is>
      </c>
      <c r="J5" s="29" t="inlineStr">
        <is>
          <t>S</t>
        </is>
      </c>
      <c r="K5" s="30" t="inlineStr">
        <is>
          <t>D</t>
        </is>
      </c>
      <c r="L5" s="11" t="inlineStr">
        <is>
          <t>All</t>
        </is>
      </c>
    </row>
    <row r="6">
      <c r="B6" s="34" t="inlineStr">
        <is>
          <t>Flagship (SPLUS)</t>
        </is>
      </c>
      <c r="C6" s="35" t="inlineStr">
        <is>
          <t>Balanced</t>
        </is>
      </c>
      <c r="D6" s="36" t="n">
        <v>3400</v>
      </c>
      <c r="E6" s="37">
        <f>Pilot_SPLUS</f>
        <v>1416330</v>
      </c>
      <c r="F6" s="38" t="inlineStr">
        <is>
          <t>Lean, Balanced or Showcase. Fine-tune lines on the Switchboard.</t>
        </is>
      </c>
      <c r="H6" s="8" t="inlineStr">
        <is>
          <t>Store build, first store</t>
        </is>
      </c>
      <c r="I6" s="39">
        <f>Pilot_SPLUS</f>
        <v>1416330</v>
      </c>
      <c r="J6" s="39">
        <f>Pilot_S</f>
        <v>799625</v>
      </c>
      <c r="K6" s="39">
        <f>Pilot_D</f>
        <v>453040</v>
      </c>
    </row>
    <row r="7">
      <c r="B7" s="34" t="inlineStr">
        <is>
          <t>Standard (S)</t>
        </is>
      </c>
      <c r="C7" s="35" t="inlineStr">
        <is>
          <t>Balanced</t>
        </is>
      </c>
      <c r="D7" s="36" t="n">
        <v>1650</v>
      </c>
      <c r="E7" s="37">
        <f>Pilot_S</f>
        <v>799625</v>
      </c>
      <c r="F7" s="38" t="inlineStr">
        <is>
          <t>Your call on the Switchboard overrules the recipe, line by line.</t>
        </is>
      </c>
      <c r="H7" s="40" t="str">
        <f>"Store build per "&amp;AreaUnit</f>
        <v>Store build per ft²</v>
      </c>
      <c r="I7" s="39">
        <f>Pilot_SPLUS/Area_SPLUS*AreaFactor</f>
        <v>416.567647058824</v>
      </c>
      <c r="J7" s="39">
        <f>Pilot_S/Area_S*AreaFactor</f>
        <v>484.621212121212</v>
      </c>
      <c r="K7" s="39">
        <f>Pilot_D/Area_D*AreaFactor</f>
        <v>503.377777777778</v>
      </c>
    </row>
    <row r="8">
      <c r="B8" s="34" t="inlineStr">
        <is>
          <t>Small (D)</t>
        </is>
      </c>
      <c r="C8" s="35" t="inlineStr">
        <is>
          <t>Balanced</t>
        </is>
      </c>
      <c r="D8" s="36" t="n">
        <v>900</v>
      </c>
      <c r="E8" s="37">
        <f>Pilot_D</f>
        <v>453040</v>
      </c>
      <c r="F8" s="38" t="inlineStr">
        <is>
          <t>Small stores cost more per ft²: much of the bill is per store.</t>
        </is>
      </c>
      <c r="H8" s="8" t="inlineStr">
        <is>
          <t>Average build at scale (your rollout)</t>
        </is>
      </c>
      <c r="I8" s="39">
        <f>INDEX(AtScale,1)</f>
        <v>1231151.26415049</v>
      </c>
      <c r="J8" s="39">
        <f>INDEX(AtScale,2)</f>
        <v>682952.585715908</v>
      </c>
      <c r="K8" s="39">
        <f>INDEX(AtScale,3)</f>
        <v>388970.217516837</v>
      </c>
    </row>
    <row r="9">
      <c r="H9" s="8" t="inlineStr">
        <is>
          <t>Saving from scale</t>
        </is>
      </c>
      <c r="I9" s="41">
        <f>IFERROR(1-INDEX(AtScale,1)/Pilot_SPLUS,0)</f>
        <v>0.13074547305325</v>
      </c>
      <c r="J9" s="41">
        <f>IFERROR(1-INDEX(AtScale,2)/Pilot_S,0)</f>
        <v>0.145908912657923</v>
      </c>
      <c r="K9" s="41">
        <f>IFERROR(1-INDEX(AtScale,3)/Pilot_D,0)</f>
        <v>0.141421910831632</v>
      </c>
    </row>
    <row r="10" ht="20" customHeight="1">
      <c r="B10" s="4" t="inlineStr">
        <is>
          <t>2   How costs fall as you grow</t>
        </is>
      </c>
      <c r="C10" s="5" t="n"/>
      <c r="D10" s="5" t="n"/>
      <c r="E10" s="5" t="n"/>
      <c r="F10" s="5" t="n"/>
      <c r="H10" s="8" t="inlineStr">
        <is>
          <t>One-time design per size (All: + program setup)</t>
        </is>
      </c>
      <c r="I10" s="39">
        <f>INDEX(FormatOnce,1)</f>
        <v>220000</v>
      </c>
      <c r="J10" s="39">
        <f>INDEX(FormatOnce,2)</f>
        <v>117000</v>
      </c>
      <c r="K10" s="39">
        <f>INDEX(FormatOnce,3)</f>
        <v>65000</v>
      </c>
      <c r="L10" s="39">
        <f>SUM(I10:K10)+ProgramOnce</f>
        <v>758000</v>
      </c>
    </row>
    <row r="11">
      <c r="B11" s="34" t="inlineStr">
        <is>
          <t>Scale outlook</t>
        </is>
      </c>
      <c r="C11" s="35" t="inlineStr">
        <is>
          <t>Expected</t>
        </is>
      </c>
      <c r="F11" s="38" t="inlineStr">
        <is>
          <t>Sets the five levers below. Type a Your call to overrule one.</t>
        </is>
      </c>
    </row>
    <row r="12" ht="20" customHeight="1">
      <c r="B12" s="10" t="inlineStr"/>
      <c r="C12" s="11" t="inlineStr">
        <is>
          <t>Your call</t>
        </is>
      </c>
      <c r="D12" s="11" t="inlineStr">
        <is>
          <t>In use</t>
        </is>
      </c>
      <c r="E12" s="11" t="inlineStr"/>
      <c r="F12" s="11" t="inlineStr">
        <is>
          <t>Notes</t>
        </is>
      </c>
      <c r="H12" s="4" t="inlineStr">
        <is>
          <t>Melbourne: streets that pay back (of 78)</t>
        </is>
      </c>
      <c r="I12" s="5" t="n"/>
      <c r="J12" s="5" t="n"/>
      <c r="K12" s="5" t="n"/>
      <c r="L12" s="5" t="n"/>
    </row>
    <row r="13">
      <c r="B13" s="8" t="inlineStr">
        <is>
          <t>Cost after each doubling of stores (learning rate)</t>
        </is>
      </c>
      <c r="C13" s="42" t="n"/>
      <c r="D13" s="43">
        <f>Scale!F6</f>
        <v>0.9</v>
      </c>
      <c r="F13" s="38" t="inlineStr">
        <is>
          <t>90%: each doubling of experience cuts labour-type lines 10%.</t>
        </is>
      </c>
      <c r="H13" s="10" t="inlineStr">
        <is>
          <t>Test</t>
        </is>
      </c>
      <c r="I13" s="28" t="inlineStr">
        <is>
          <t>SPLUS</t>
        </is>
      </c>
      <c r="J13" s="29" t="inlineStr">
        <is>
          <t>S</t>
        </is>
      </c>
      <c r="K13" s="30" t="inlineStr">
        <is>
          <t>D</t>
        </is>
      </c>
      <c r="L13" s="11" t="inlineStr">
        <is>
          <t>Total</t>
        </is>
      </c>
    </row>
    <row r="14">
      <c r="B14" s="8" t="inlineStr">
        <is>
          <t>Learning floor (share of first-store cost)</t>
        </is>
      </c>
      <c r="C14" s="42" t="n"/>
      <c r="D14" s="43">
        <f>Scale!F7</f>
        <v>0.7</v>
      </c>
      <c r="F14" s="38" t="inlineStr">
        <is>
          <t>Learning stops here: some work never gets faster.</t>
        </is>
      </c>
      <c r="H14" s="8" t="inlineStr">
        <is>
          <t>All 78 streets, by size</t>
        </is>
      </c>
      <c r="I14" s="44">
        <f>Melbourne!D7</f>
        <v>14</v>
      </c>
      <c r="J14" s="44">
        <f>Melbourne!E7</f>
        <v>34</v>
      </c>
      <c r="K14" s="44">
        <f>Melbourne!F7</f>
        <v>30</v>
      </c>
      <c r="L14" s="20">
        <f>Melbourne!G7</f>
        <v>78</v>
      </c>
    </row>
    <row r="15">
      <c r="B15" s="8" t="inlineStr">
        <is>
          <t>Experience shared across store sizes</t>
        </is>
      </c>
      <c r="C15" s="42" t="n"/>
      <c r="D15" s="43">
        <f>Scale!F8</f>
        <v>0.5</v>
      </c>
      <c r="F15" s="38" t="inlineStr">
        <is>
          <t>0%: each size learns alone. 100%: every store teaches all sizes.</t>
        </is>
      </c>
      <c r="H15" s="34" t="inlineStr">
        <is>
          <t>Dashboard test (same rule as Tableau)</t>
        </is>
      </c>
      <c r="I15" s="20">
        <f>Melbourne!D8</f>
        <v>14</v>
      </c>
      <c r="J15" s="20">
        <f>Melbourne!E8</f>
        <v>29</v>
      </c>
      <c r="K15" s="20">
        <f>Melbourne!F8</f>
        <v>16</v>
      </c>
      <c r="L15" s="20">
        <f>Melbourne!G8</f>
        <v>59</v>
      </c>
    </row>
    <row r="16">
      <c r="B16" s="8" t="inlineStr">
        <is>
          <t>Biggest price break on bought kit</t>
        </is>
      </c>
      <c r="C16" s="42" t="n"/>
      <c r="D16" s="43">
        <f>Scale!F12</f>
        <v>0.14</v>
      </c>
      <c r="F16" s="38" t="inlineStr">
        <is>
          <t>Reached at 30 stores; the smaller breaks scale with it.</t>
        </is>
      </c>
      <c r="H16" s="8" t="inlineStr">
        <is>
          <t>Dashboard test, build at scale</t>
        </is>
      </c>
      <c r="I16" s="44">
        <f>Melbourne!D9</f>
        <v>14</v>
      </c>
      <c r="J16" s="44">
        <f>Melbourne!E9</f>
        <v>33</v>
      </c>
      <c r="K16" s="44">
        <f>Melbourne!F9</f>
        <v>17</v>
      </c>
      <c r="L16" s="20">
        <f>Melbourne!G9</f>
        <v>64</v>
      </c>
    </row>
    <row r="17">
      <c r="B17" s="8" t="inlineStr">
        <is>
          <t>Software licence discount you negotiate</t>
        </is>
      </c>
      <c r="C17" s="42" t="n"/>
      <c r="D17" s="43">
        <f>Scale!F13</f>
        <v>0.1</v>
      </c>
      <c r="F17" s="38" t="inlineStr">
        <is>
          <t>Off the list price of the in-store software licences.</t>
        </is>
      </c>
      <c r="H17" s="8" t="inlineStr">
        <is>
          <t>Full store P&amp;L</t>
        </is>
      </c>
      <c r="I17" s="44">
        <f>Melbourne!D10</f>
        <v>7</v>
      </c>
      <c r="J17" s="44">
        <f>Melbourne!E10</f>
        <v>19</v>
      </c>
      <c r="K17" s="44">
        <f>Melbourne!F10</f>
        <v>6</v>
      </c>
      <c r="L17" s="20">
        <f>Melbourne!G10</f>
        <v>32</v>
      </c>
    </row>
    <row r="18">
      <c r="B18" s="8" t="inlineStr">
        <is>
          <t>Supplier deal for bought kit</t>
        </is>
      </c>
      <c r="C18" s="35" t="inlineStr">
        <is>
          <t>Pay as you grow</t>
        </is>
      </c>
      <c r="F18" s="38" t="inlineStr">
        <is>
          <t>Commit, and every store pays the big-fleet price from day one.</t>
        </is>
      </c>
      <c r="H18" s="8" t="inlineStr">
        <is>
          <t>Full store P&amp;L, build at scale</t>
        </is>
      </c>
      <c r="I18" s="44">
        <f>Melbourne!D11</f>
        <v>8</v>
      </c>
      <c r="J18" s="44">
        <f>Melbourne!E11</f>
        <v>20</v>
      </c>
      <c r="K18" s="44">
        <f>Melbourne!F11</f>
        <v>7</v>
      </c>
      <c r="L18" s="20">
        <f>Melbourne!G11</f>
        <v>35</v>
      </c>
    </row>
    <row r="19">
      <c r="H19" s="8" t="inlineStr">
        <is>
          <t>Mix of sizes the rollout uses</t>
        </is>
      </c>
      <c r="I19" s="43">
        <f>INDEX(ShareUsed,1)</f>
        <v>0.23728813559322</v>
      </c>
      <c r="J19" s="43">
        <f>INDEX(ShareUsed,2)</f>
        <v>0.491525423728814</v>
      </c>
      <c r="K19" s="43">
        <f>INDEX(ShareUsed,3)</f>
        <v>0.271186440677966</v>
      </c>
      <c r="L19" s="45">
        <f>SUM(I19:K19)</f>
        <v>1</v>
      </c>
    </row>
    <row r="20" ht="20" customHeight="1">
      <c r="B20" s="4" t="inlineStr">
        <is>
          <t>3   The rollout</t>
        </is>
      </c>
      <c r="C20" s="5" t="n"/>
      <c r="D20" s="5" t="n"/>
      <c r="E20" s="5" t="n"/>
      <c r="F20" s="5" t="n"/>
    </row>
    <row r="21" ht="20" customHeight="1">
      <c r="B21" s="10" t="inlineStr">
        <is>
          <t>Year</t>
        </is>
      </c>
      <c r="C21" s="11" t="inlineStr">
        <is>
          <t>Stores opened</t>
        </is>
      </c>
      <c r="D21" s="11" t="inlineStr">
        <is>
          <t>Open by year end</t>
        </is>
      </c>
      <c r="E21" s="11" t="inlineStr"/>
      <c r="F21" s="11" t="inlineStr">
        <is>
          <t>Notes</t>
        </is>
      </c>
      <c r="H21" s="4" t="inlineStr">
        <is>
          <t>Your rollout</t>
        </is>
      </c>
      <c r="I21" s="5" t="n"/>
      <c r="J21" s="5" t="n"/>
      <c r="K21" s="5" t="n"/>
      <c r="L21" s="5" t="n"/>
    </row>
    <row r="22">
      <c r="B22" s="8" t="inlineStr">
        <is>
          <t>Year 1</t>
        </is>
      </c>
      <c r="C22" s="36" t="n">
        <v>2</v>
      </c>
      <c r="D22" s="46">
        <f>SUM($C$22:C22)</f>
        <v>2</v>
      </c>
      <c r="F22" s="38" t="inlineStr">
        <is>
          <t>Stores open mid-year on average (see Store economics).</t>
        </is>
      </c>
      <c r="H22" s="10" t="inlineStr"/>
      <c r="I22" s="28" t="inlineStr">
        <is>
          <t>SPLUS</t>
        </is>
      </c>
      <c r="J22" s="29" t="inlineStr">
        <is>
          <t>S</t>
        </is>
      </c>
      <c r="K22" s="30" t="inlineStr">
        <is>
          <t>D</t>
        </is>
      </c>
      <c r="L22" s="11" t="inlineStr">
        <is>
          <t>Total</t>
        </is>
      </c>
    </row>
    <row r="23">
      <c r="B23" s="8" t="inlineStr">
        <is>
          <t>Year 2</t>
        </is>
      </c>
      <c r="C23" s="36" t="n">
        <v>4</v>
      </c>
      <c r="D23" s="46">
        <f>SUM($C$22:C23)</f>
        <v>6</v>
      </c>
      <c r="H23" s="8" t="inlineStr">
        <is>
          <t>Stores</t>
        </is>
      </c>
      <c r="I23" s="44">
        <f>INDEX(Target,1)</f>
        <v>7</v>
      </c>
      <c r="J23" s="44">
        <f>INDEX(Target,2)</f>
        <v>15</v>
      </c>
      <c r="K23" s="44">
        <f>INDEX(Target,3)</f>
        <v>8</v>
      </c>
      <c r="L23" s="47">
        <f>PlanStores</f>
        <v>30</v>
      </c>
    </row>
    <row r="24">
      <c r="B24" s="8" t="inlineStr">
        <is>
          <t>Year 3</t>
        </is>
      </c>
      <c r="C24" s="36" t="n">
        <v>6</v>
      </c>
      <c r="D24" s="46">
        <f>SUM($C$22:C24)</f>
        <v>12</v>
      </c>
      <c r="H24" s="8" t="inlineStr">
        <is>
          <t>Store builds (each in its opening year's $)</t>
        </is>
      </c>
      <c r="I24" s="37">
        <f>Program!M12</f>
        <v>23729197.4900283</v>
      </c>
    </row>
    <row r="25">
      <c r="B25" s="8" t="inlineStr">
        <is>
          <t>Year 4</t>
        </is>
      </c>
      <c r="C25" s="36" t="n">
        <v>8</v>
      </c>
      <c r="D25" s="46">
        <f>SUM($C$22:C25)</f>
        <v>20</v>
      </c>
      <c r="H25" s="8" t="inlineStr">
        <is>
          <t>One-time design and program setup</t>
        </is>
      </c>
      <c r="I25" s="37">
        <f>Program!M13+Program!M14</f>
        <v>759950</v>
      </c>
    </row>
    <row r="26">
      <c r="B26" s="8" t="inlineStr">
        <is>
          <t>Year 5</t>
        </is>
      </c>
      <c r="C26" s="36" t="n">
        <v>10</v>
      </c>
      <c r="D26" s="46">
        <f>SUM($C$22:C26)</f>
        <v>30</v>
      </c>
      <c r="H26" s="8" t="inlineStr">
        <is>
          <t>Opening stock</t>
        </is>
      </c>
      <c r="I26" s="37">
        <f>Program!M15</f>
        <v>3683959.70621539</v>
      </c>
    </row>
    <row r="27">
      <c r="B27" s="8" t="inlineStr">
        <is>
          <t>Year 6</t>
        </is>
      </c>
      <c r="C27" s="36" t="n">
        <v>0</v>
      </c>
      <c r="D27" s="46">
        <f>SUM($C$22:C27)</f>
        <v>30</v>
      </c>
      <c r="H27" s="34" t="inlineStr">
        <is>
          <t>Total investment</t>
        </is>
      </c>
      <c r="I27" s="17">
        <f>Program!M16</f>
        <v>28173107.1962436</v>
      </c>
    </row>
    <row r="28">
      <c r="B28" s="8" t="inlineStr">
        <is>
          <t>Year 7</t>
        </is>
      </c>
      <c r="C28" s="36" t="n">
        <v>0</v>
      </c>
      <c r="D28" s="46">
        <f>SUM($C$22:C28)</f>
        <v>30</v>
      </c>
    </row>
    <row r="29" ht="20" customHeight="1">
      <c r="B29" s="8" t="inlineStr">
        <is>
          <t>Year 8</t>
        </is>
      </c>
      <c r="C29" s="36" t="n">
        <v>0</v>
      </c>
      <c r="D29" s="46">
        <f>SUM($C$22:C29)</f>
        <v>30</v>
      </c>
      <c r="H29" s="4" t="inlineStr">
        <is>
          <t>Program results (10 years)</t>
        </is>
      </c>
      <c r="I29" s="5" t="n"/>
      <c r="J29" s="5" t="n"/>
      <c r="K29" s="5" t="n"/>
      <c r="L29" s="5" t="n"/>
    </row>
    <row r="30" ht="19" customHeight="1">
      <c r="B30" s="34" t="inlineStr">
        <is>
          <t>Total stores</t>
        </is>
      </c>
      <c r="C30" s="47">
        <f>SUM(C22:C29)</f>
        <v>30</v>
      </c>
      <c r="D30" s="38" t="inlineStr"/>
      <c r="E30" s="48" t="str">
        <f>IF(PlanStores&gt;100,"Too many: the Rollout sheet holds 100 stores","")</f>
        <v/>
      </c>
      <c r="F30" s="38" t="inlineStr">
        <is>
          <t>Up to 100 stores.</t>
        </is>
      </c>
      <c r="H30" s="49" t="inlineStr">
        <is>
          <t>Peak cash needed</t>
        </is>
      </c>
      <c r="I30" s="50">
        <f>PeakNeed</f>
        <v>8369720.00913447</v>
      </c>
    </row>
    <row r="31" ht="19" customHeight="1">
      <c r="B31" s="8" t="inlineStr">
        <is>
          <t>Open a flagship first</t>
        </is>
      </c>
      <c r="C31" s="35" t="inlineStr">
        <is>
          <t>Yes</t>
        </is>
      </c>
      <c r="F31" s="38" t="inlineStr">
        <is>
          <t>Store 1 is a flagship; then the sizes interleave to hold the mix.</t>
        </is>
      </c>
      <c r="H31" s="49" t="inlineStr">
        <is>
          <t>Pays back in</t>
        </is>
      </c>
      <c r="I31" s="51" t="str">
        <f>PaybackText</f>
        <v>Year 6</v>
      </c>
    </row>
    <row r="32" ht="19" customHeight="1">
      <c r="B32" s="8" t="inlineStr">
        <is>
          <t>Store sizes come from</t>
        </is>
      </c>
      <c r="C32" s="35" t="inlineStr">
        <is>
          <t>Melbourne: dashboard test</t>
        </is>
      </c>
      <c r="F32" s="38" t="inlineStr">
        <is>
          <t>Which Melbourne streets set the mix of sizes (or your own mix).</t>
        </is>
      </c>
      <c r="H32" s="49" t="inlineStr">
        <is>
          <t>NPV at your discount rate</t>
        </is>
      </c>
      <c r="I32" s="52">
        <f>NPVProgram</f>
        <v>36135184.0917513</v>
      </c>
    </row>
    <row r="33" ht="19" customHeight="1">
      <c r="B33" s="8" t="inlineStr">
        <is>
          <t>Your own mix: Flagship</t>
        </is>
      </c>
      <c r="C33" s="42" t="n">
        <v>0.3</v>
      </c>
      <c r="F33" s="38" t="inlineStr">
        <is>
          <t>30 / 50 / 20: my illustrative mix from before the streets.</t>
        </is>
      </c>
      <c r="H33" s="49" t="inlineStr">
        <is>
          <t>Cash after 10 years</t>
        </is>
      </c>
      <c r="I33" s="52">
        <f>CashAfter10</f>
        <v>81669092.6568695</v>
      </c>
    </row>
    <row r="34" ht="19" customHeight="1">
      <c r="B34" s="8" t="inlineStr">
        <is>
          <t>Your own mix: Standard</t>
        </is>
      </c>
      <c r="C34" s="42" t="n">
        <v>0.5</v>
      </c>
      <c r="H34" s="49" t="inlineStr">
        <is>
          <t>Stores repaying their build in the payback period</t>
        </is>
      </c>
      <c r="I34" s="51" t="str">
        <f>StoresRepayText</f>
        <v>24 of 30</v>
      </c>
    </row>
    <row r="35">
      <c r="B35" s="8" t="inlineStr">
        <is>
          <t>Your own mix: Small</t>
        </is>
      </c>
      <c r="C35" s="42" t="n">
        <v>0.2</v>
      </c>
    </row>
    <row r="36">
      <c r="B36" s="8" t="inlineStr">
        <is>
          <t>Your own mix adds up to</t>
        </is>
      </c>
      <c r="C36" s="45">
        <f>SUM(C33:C35)</f>
        <v>1</v>
      </c>
      <c r="E36" s="53" t="str">
        <f>IF(ABS(C36-1)&gt;0.0001,"Scaled to 100%","")</f>
        <v/>
      </c>
      <c r="F36" s="38" t="inlineStr">
        <is>
          <t>Scaled to 100% if it doesn't add up.</t>
        </is>
      </c>
    </row>
    <row r="37">
      <c r="B37" s="8" t="inlineStr">
        <is>
          <t>Street for each store</t>
        </is>
      </c>
      <c r="C37" s="35" t="inlineStr">
        <is>
          <t>Best streets first</t>
        </is>
      </c>
      <c r="F37" s="38" t="inlineStr">
        <is>
          <t>Best first: each store takes its size's next-best paying street.</t>
        </is>
      </c>
    </row>
    <row r="39" ht="20" customHeight="1">
      <c r="B39" s="4" t="inlineStr">
        <is>
          <t>4   Store economics</t>
        </is>
      </c>
      <c r="C39" s="5" t="n"/>
      <c r="D39" s="5" t="n"/>
      <c r="E39" s="5" t="n"/>
      <c r="F39" s="5" t="n"/>
    </row>
    <row r="40">
      <c r="B40" s="10" t="inlineStr"/>
      <c r="C40" s="11" t="inlineStr">
        <is>
          <t>Your value</t>
        </is>
      </c>
      <c r="D40" s="11" t="inlineStr">
        <is>
          <t>On Tableau</t>
        </is>
      </c>
      <c r="E40" s="11" t="inlineStr"/>
      <c r="F40" s="11" t="inlineStr">
        <is>
          <t>Notes</t>
        </is>
      </c>
    </row>
    <row r="41">
      <c r="B41" s="8" t="inlineStr">
        <is>
          <t>Average spend per purchase</t>
        </is>
      </c>
      <c r="C41" s="54" t="n">
        <v>80</v>
      </c>
      <c r="D41" s="55" t="n">
        <v>80</v>
      </c>
      <c r="F41" s="38" t="inlineStr">
        <is>
          <t>The dashboard's Average Ticket.</t>
        </is>
      </c>
    </row>
    <row r="42">
      <c r="B42" s="8" t="inlineStr">
        <is>
          <t>Visitors who buy</t>
        </is>
      </c>
      <c r="C42" s="42" t="n">
        <v>0.2</v>
      </c>
      <c r="D42" s="56" t="n">
        <v>0.2</v>
      </c>
      <c r="F42" s="38" t="inlineStr">
        <is>
          <t>The dashboard's Conversion Rate.</t>
        </is>
      </c>
    </row>
    <row r="43">
      <c r="B43" s="8" t="inlineStr">
        <is>
          <t>Passers-by you can win (capture)</t>
        </is>
      </c>
      <c r="C43" s="57" t="n">
        <v>0.03</v>
      </c>
      <c r="D43" s="58" t="n">
        <v>0.03</v>
      </c>
      <c r="F43" s="38" t="inlineStr">
        <is>
          <t>The dashboard's Achievable Capture.</t>
        </is>
      </c>
    </row>
    <row r="44">
      <c r="B44" s="8" t="inlineStr">
        <is>
          <t>Payback period (years)</t>
        </is>
      </c>
      <c r="C44" s="36" t="n">
        <v>3</v>
      </c>
      <c r="D44" s="59" t="n">
        <v>3</v>
      </c>
      <c r="F44" s="38" t="inlineStr">
        <is>
          <t>The dashboard's Payback Years.</t>
        </is>
      </c>
    </row>
    <row r="45">
      <c r="B45" s="8" t="inlineStr">
        <is>
          <t>Profit margin used by the dashboard test</t>
        </is>
      </c>
      <c r="C45" s="42" t="n">
        <v>0.25</v>
      </c>
      <c r="D45" s="56" t="n">
        <v>0.25</v>
      </c>
      <c r="F45" s="38" t="inlineStr">
        <is>
          <t>A flat margin. The full store P&amp;L uses the lines below instead.</t>
        </is>
      </c>
    </row>
    <row r="46">
      <c r="B46" s="8" t="inlineStr">
        <is>
          <t>Gross margin on sales</t>
        </is>
      </c>
      <c r="C46" s="42" t="n">
        <v>0.6</v>
      </c>
      <c r="F46" s="38" t="inlineStr">
        <is>
          <t>After the cost of the products sold.</t>
        </is>
      </c>
    </row>
    <row r="47">
      <c r="B47" s="8" t="inlineStr">
        <is>
          <t>Variable costs (share of sales)</t>
        </is>
      </c>
      <c r="C47" s="60">
        <f>VarCosts</f>
        <v>0.07</v>
      </c>
      <c r="F47" s="38" t="inlineStr">
        <is>
          <t>Card fees, shrink, packaging, incentives: set on Store P&amp;L.</t>
        </is>
      </c>
    </row>
    <row r="48">
      <c r="B48" s="8" t="inlineStr">
        <is>
          <t>First-year sales (share of a mature year)</t>
        </is>
      </c>
      <c r="C48" s="42" t="n">
        <v>0.75</v>
      </c>
      <c r="F48" s="38" t="inlineStr">
        <is>
          <t>New stores take time to build a following.</t>
        </is>
      </c>
    </row>
    <row r="49">
      <c r="B49" s="8" t="inlineStr">
        <is>
          <t>Second-year sales</t>
        </is>
      </c>
      <c r="C49" s="42" t="n">
        <v>0.92</v>
      </c>
      <c r="F49" s="38" t="inlineStr">
        <is>
          <t>Full speed from year three.</t>
        </is>
      </c>
    </row>
    <row r="50">
      <c r="B50" s="8" t="inlineStr">
        <is>
          <t>Share of its opening year a new store trades</t>
        </is>
      </c>
      <c r="C50" s="42" t="n">
        <v>0.5</v>
      </c>
      <c r="F50" s="38" t="inlineStr">
        <is>
          <t>50% = stores open mid-year on average (program cash flow only).</t>
        </is>
      </c>
    </row>
    <row r="51">
      <c r="B51" s="8" t="inlineStr">
        <is>
          <t>Build cost inflation per year</t>
        </is>
      </c>
      <c r="C51" s="57" t="n">
        <v>0.03</v>
      </c>
      <c r="F51" s="38" t="inlineStr">
        <is>
          <t>Raises the bill for later openings (program cash flow only).</t>
        </is>
      </c>
    </row>
    <row r="52">
      <c r="B52" s="8" t="inlineStr">
        <is>
          <t>Discount rate for NPV</t>
        </is>
      </c>
      <c r="C52" s="42" t="n">
        <v>0.1</v>
      </c>
      <c r="F52" s="38" t="inlineStr">
        <is>
          <t>What a dollar next year is worth today.</t>
        </is>
      </c>
    </row>
    <row r="54" ht="20" customHeight="1">
      <c r="B54" s="4" t="inlineStr">
        <is>
          <t>5   Street bars and display</t>
        </is>
      </c>
      <c r="C54" s="5" t="n"/>
      <c r="D54" s="5" t="n"/>
      <c r="E54" s="5" t="n"/>
      <c r="F54" s="5" t="n"/>
    </row>
    <row r="55">
      <c r="B55" s="8" t="inlineStr">
        <is>
          <t>Flagship street: weekday passers-by at least</t>
        </is>
      </c>
      <c r="C55" s="36" t="n">
        <v>12000</v>
      </c>
      <c r="D55" s="59" t="n">
        <v>12000</v>
      </c>
      <c r="F55" s="38" t="inlineStr">
        <is>
          <t>The dashboard's Flagship Volume Bar.</t>
        </is>
      </c>
    </row>
    <row r="56">
      <c r="B56" s="8" t="inlineStr">
        <is>
          <t>Standard street: weekday passers-by at least</t>
        </is>
      </c>
      <c r="C56" s="36" t="n">
        <v>5000</v>
      </c>
      <c r="D56" s="59" t="n">
        <v>5000</v>
      </c>
      <c r="F56" s="38" t="inlineStr">
        <is>
          <t>The dashboard's Standard Volume Bar.</t>
        </is>
      </c>
    </row>
    <row r="57">
      <c r="B57" s="8" t="inlineStr">
        <is>
          <t>Show areas in</t>
        </is>
      </c>
      <c r="C57" s="35" t="inlineStr">
        <is>
          <t>ft²</t>
        </is>
      </c>
      <c r="D57" s="61">
        <f>IF(AreaUnit="m²",10.7639,1)</f>
        <v>1</v>
      </c>
      <c r="F57" s="38" t="inlineStr">
        <is>
          <t>Inputs stay in ft²; per-area results switch.</t>
        </is>
      </c>
    </row>
    <row r="59">
      <c r="B59" s="34" t="inlineStr">
        <is>
          <t>Same result as the live Tableau dashboard?</t>
        </is>
      </c>
      <c r="C59" s="19" t="str">
        <f>Melbourne!C40</f>
        <v>Yes: 59 of 78 streets, same as the live dashboard</v>
      </c>
    </row>
  </sheetData>
  <mergeCells count="10">
    <mergeCell ref="I26:L26"/>
    <mergeCell ref="I31:L31"/>
    <mergeCell ref="I34:L34"/>
    <mergeCell ref="C59:F59"/>
    <mergeCell ref="I30:L30"/>
    <mergeCell ref="I32:L32"/>
    <mergeCell ref="I24:L24"/>
    <mergeCell ref="I25:L25"/>
    <mergeCell ref="I33:L33"/>
    <mergeCell ref="I27:L27"/>
  </mergeCells>
  <conditionalFormatting sqref="C41">
    <cfRule type="expression" priority="1" dxfId="3">
      <formula>C41&lt;&gt;D41</formula>
    </cfRule>
  </conditionalFormatting>
  <conditionalFormatting sqref="C42">
    <cfRule type="expression" priority="2" dxfId="3">
      <formula>C42&lt;&gt;D42</formula>
    </cfRule>
  </conditionalFormatting>
  <conditionalFormatting sqref="C43">
    <cfRule type="expression" priority="3" dxfId="3">
      <formula>C43&lt;&gt;D43</formula>
    </cfRule>
  </conditionalFormatting>
  <conditionalFormatting sqref="C44">
    <cfRule type="expression" priority="4" dxfId="3">
      <formula>C44&lt;&gt;D44</formula>
    </cfRule>
  </conditionalFormatting>
  <conditionalFormatting sqref="C45">
    <cfRule type="expression" priority="5" dxfId="3">
      <formula>C45&lt;&gt;D45</formula>
    </cfRule>
  </conditionalFormatting>
  <conditionalFormatting sqref="C55">
    <cfRule type="expression" priority="6" dxfId="3">
      <formula>C55&lt;&gt;D55</formula>
    </cfRule>
  </conditionalFormatting>
  <conditionalFormatting sqref="C56">
    <cfRule type="expression" priority="7" dxfId="3">
      <formula>C56&lt;&gt;D56</formula>
    </cfRule>
  </conditionalFormatting>
  <conditionalFormatting sqref="C59">
    <cfRule type="expression" priority="8" dxfId="0">
      <formula>LEFT(C59,3)="Yes"</formula>
    </cfRule>
    <cfRule type="expression" priority="9" dxfId="2">
      <formula>LEFT(C59,3)&lt;&gt;"Yes"</formula>
    </cfRule>
  </conditionalFormatting>
  <conditionalFormatting sqref="C30">
    <cfRule type="expression" priority="10" dxfId="2">
      <formula>C30&gt;100</formula>
    </cfRule>
  </conditionalFormatting>
  <dataValidations count="23">
    <dataValidation sqref="C6 C7 C8" showDropDown="0" showInputMessage="0" showErrorMessage="0" allowBlank="1" errorTitle="Not on the list" error="Pick a value from the list." type="list">
      <formula1>=RecipeList</formula1>
    </dataValidation>
    <dataValidation sqref="C11" showDropDown="0" showInputMessage="0" showErrorMessage="0" allowBlank="1" errorTitle="Not on the list" error="Pick a value from the list." type="list">
      <formula1>=OutlookList</formula1>
    </dataValidation>
    <dataValidation sqref="C18" showDropDown="0" showInputMessage="0" showErrorMessage="0" allowBlank="1" errorTitle="Not on the list" error="Pick a value from the list." type="list">
      <formula1>=DealList</formula1>
    </dataValidation>
    <dataValidation sqref="C31" showDropDown="0" showInputMessage="0" showErrorMessage="0" allowBlank="1" errorTitle="Not on the list" error="Pick a value from the list." type="list">
      <formula1>=YesNo</formula1>
    </dataValidation>
    <dataValidation sqref="C32" showDropDown="0" showInputMessage="0" showErrorMessage="0" allowBlank="1" errorTitle="Not on the list" error="Pick a value from the list." type="list">
      <formula1>=MixList</formula1>
    </dataValidation>
    <dataValidation sqref="C37" showDropDown="0" showInputMessage="0" showErrorMessage="0" allowBlank="1" errorTitle="Not on the list" error="Pick a value from the list." type="list">
      <formula1>=StreetList</formula1>
    </dataValidation>
    <dataValidation sqref="C57" showDropDown="0" showInputMessage="0" showErrorMessage="0" allowBlank="1" errorTitle="Not on the list" error="Pick a value from the list." type="list">
      <formula1>=UnitList</formula1>
    </dataValidation>
    <dataValidation sqref="C22:C29" showDropDown="0" showInputMessage="0" showErrorMessage="0" allowBlank="1" errorTitle="Out of range" error="Enter a whole number of stores (0 to 100)." type="whole" operator="between">
      <formula1>0</formula1>
      <formula2>100</formula2>
    </dataValidation>
    <dataValidation sqref="D6:D8" showDropDown="0" showInputMessage="0" showErrorMessage="0" allowBlank="1" errorTitle="Out of range" error="Enter a floor area between 200 and 20,000 ft²." type="decimal" operator="between">
      <formula1>200</formula1>
      <formula2>20000</formula2>
    </dataValidation>
    <dataValidation sqref="C13:C17" showDropDown="0" showInputMessage="0" showErrorMessage="0" allowBlank="1" errorTitle="Out of range" error="Enter a share between 0% and 100%, or leave it blank to follow the outlook." type="decimal" operator="between">
      <formula1>0</formula1>
      <formula2>1</formula2>
    </dataValidation>
    <dataValidation sqref="C33:C35" showDropDown="0" showInputMessage="0" showErrorMessage="0" allowBlank="1" errorTitle="Out of range" error="Enter a share between 0% and 100%." type="decimal" operator="between">
      <formula1>0</formula1>
      <formula2>1</formula2>
    </dataValidation>
    <dataValidation sqref="C42" showDropDown="0" showInputMessage="0" showErrorMessage="0" allowBlank="1" errorTitle="Out of range" error="Enter a number between 0 and 1." type="decimal" operator="between">
      <formula1>0</formula1>
      <formula2>1</formula2>
    </dataValidation>
    <dataValidation sqref="C43" showDropDown="0" showInputMessage="0" showErrorMessage="0" allowBlank="1" errorTitle="Out of range" error="Enter a number between 0 and 1." type="decimal" operator="between">
      <formula1>0</formula1>
      <formula2>1</formula2>
    </dataValidation>
    <dataValidation sqref="C45" showDropDown="0" showInputMessage="0" showErrorMessage="0" allowBlank="1" errorTitle="Out of range" error="Enter a number between 0 and 1." type="decimal" operator="between">
      <formula1>0</formula1>
      <formula2>1</formula2>
    </dataValidation>
    <dataValidation sqref="C46" showDropDown="0" showInputMessage="0" showErrorMessage="0" allowBlank="1" errorTitle="Out of range" error="Enter a number between 0 and 1." type="decimal" operator="between">
      <formula1>0</formula1>
      <formula2>1</formula2>
    </dataValidation>
    <dataValidation sqref="C48" showDropDown="0" showInputMessage="0" showErrorMessage="0" allowBlank="1" errorTitle="Out of range" error="Enter a number between 0 and 1." type="decimal" operator="between">
      <formula1>0</formula1>
      <formula2>1</formula2>
    </dataValidation>
    <dataValidation sqref="C49" showDropDown="0" showInputMessage="0" showErrorMessage="0" allowBlank="1" errorTitle="Out of range" error="Enter a number between 0 and 1." type="decimal" operator="between">
      <formula1>0</formula1>
      <formula2>1</formula2>
    </dataValidation>
    <dataValidation sqref="C50" showDropDown="0" showInputMessage="0" showErrorMessage="0" allowBlank="1" errorTitle="Out of range" error="Enter a number between 0 and 1." type="decimal" operator="between">
      <formula1>0</formula1>
      <formula2>1</formula2>
    </dataValidation>
    <dataValidation sqref="C51" showDropDown="0" showInputMessage="0" showErrorMessage="0" allowBlank="1" errorTitle="Out of range" error="Enter a number between 0 and 1." type="decimal" operator="between">
      <formula1>0</formula1>
      <formula2>1</formula2>
    </dataValidation>
    <dataValidation sqref="C52" showDropDown="0" showInputMessage="0" showErrorMessage="0" allowBlank="1" errorTitle="Out of range" error="Enter a number between 0 and 1." type="decimal" operator="between">
      <formula1>0</formula1>
      <formula2>1</formula2>
    </dataValidation>
    <dataValidation sqref="C44" showDropDown="0" showInputMessage="0" showErrorMessage="0" allowBlank="1" errorTitle="Out of range" error="Payback period: 1 to 10 years." type="whole" operator="between">
      <formula1>1</formula1>
      <formula2>10</formula2>
    </dataValidation>
    <dataValidation sqref="C41" showDropDown="0" showInputMessage="0" showErrorMessage="0" allowBlank="1" errorTitle="Out of range" error="Enter a number between 1 and 10000." type="decimal" operator="between">
      <formula1>1</formula1>
      <formula2>10000</formula2>
    </dataValidation>
    <dataValidation sqref="C55:C56" showDropDown="0" showInputMessage="0" showErrorMessage="0" allowBlank="1" errorTitle="Out of range" error="Enter a number between 0 and 100000." type="decimal" operator="between">
      <formula1>0</formula1>
      <formula2>100000</formula2>
    </dataValidation>
  </dataValidations>
  <pageMargins left="0.75" right="0.75" top="1" bottom="1" header="0.5" footer="0.5"/>
  <pageSetup orientation="landscape" fitToHeight="0" fitToWidth="1"/>
  <drawing xmlns:r="http://schemas.openxmlformats.org/officeDocument/2006/relationships" r:id="rId1"/>
</worksheet>
</file>

<file path=xl/worksheets/sheet3.xml><?xml version="1.0" encoding="utf-8"?>
<worksheet xmlns="http://schemas.openxmlformats.org/spreadsheetml/2006/main">
  <sheetPr>
    <tabColor rgb="00842C01"/>
    <outlinePr summaryBelow="1" summaryRight="1"/>
    <pageSetUpPr fitToPage="1"/>
  </sheetPr>
  <dimension ref="A1:AH61"/>
  <sheetViews>
    <sheetView showGridLines="0" zoomScale="100" workbookViewId="0">
      <pane xSplit="3" ySplit="15" topLeftCell="D16" activePane="bottomRight" state="frozen"/>
      <selection pane="topRight"/>
      <selection pane="bottomLeft"/>
      <selection pane="bottomRight" activeCell="A1" sqref="A1"/>
    </sheetView>
  </sheetViews>
  <sheetFormatPr baseColWidth="8" defaultRowHeight="15"/>
  <cols>
    <col width="9" customWidth="1" min="1" max="1"/>
    <col width="9" customWidth="1" min="2" max="2"/>
    <col width="46" customWidth="1" min="3" max="3"/>
    <col width="8" customWidth="1" min="4" max="4"/>
    <col width="8" customWidth="1" min="5" max="5"/>
    <col width="8" customWidth="1" min="6" max="6"/>
    <col width="8" customWidth="1" min="7" max="7"/>
    <col width="8" customWidth="1" min="8" max="8"/>
    <col width="8" customWidth="1" min="9" max="9"/>
    <col width="12" customWidth="1" min="10" max="10"/>
    <col width="12" customWidth="1" min="11" max="11"/>
    <col width="12" customWidth="1" min="12" max="12"/>
    <col width="11" customWidth="1" min="13" max="13"/>
    <col width="11" customWidth="1" min="14" max="14"/>
    <col width="11" customWidth="1" min="15" max="15"/>
    <col width="17" customWidth="1" min="16" max="16"/>
    <col width="15" customWidth="1" min="17" max="17"/>
    <col width="10" customWidth="1" min="18" max="18"/>
    <col width="10" customWidth="1" min="19" max="19"/>
    <col width="10" customWidth="1" min="20" max="20"/>
    <col width="7" customWidth="1" min="21" max="21"/>
    <col width="7" customWidth="1" min="22" max="22"/>
    <col width="7" customWidth="1" min="23" max="23"/>
    <col width="56" customWidth="1" min="24" max="24"/>
    <col hidden="1" outlineLevel="1" width="11" customWidth="1" min="26" max="34"/>
  </cols>
  <sheetData>
    <row r="1" ht="30" customHeight="1">
      <c r="A1" s="62" t="inlineStr">
        <is>
          <t>Switchboard · what each store is made of</t>
        </is>
      </c>
    </row>
    <row r="2">
      <c r="A2" s="63" t="inlineStr">
        <is>
          <t>Each line is part of one store's build. The recipe you pick on the Control Panel decides which lines are on. Overrule any line with Your call (ON or OFF), or type Your $ to replace its amount. Bucket switches turn a whole group off.</t>
        </is>
      </c>
    </row>
    <row r="3">
      <c r="D3" s="28" t="inlineStr">
        <is>
          <t>SPLUS</t>
        </is>
      </c>
      <c r="E3" s="29" t="inlineStr">
        <is>
          <t>S</t>
        </is>
      </c>
      <c r="F3" s="30" t="inlineStr">
        <is>
          <t>D</t>
        </is>
      </c>
      <c r="G3" s="64" t="inlineStr">
        <is>
          <t>First store of each size</t>
        </is>
      </c>
      <c r="J3" s="28" t="inlineStr">
        <is>
          <t>SPLUS</t>
        </is>
      </c>
      <c r="K3" s="29" t="inlineStr">
        <is>
          <t>S</t>
        </is>
      </c>
      <c r="L3" s="30" t="inlineStr">
        <is>
          <t>D</t>
        </is>
      </c>
    </row>
    <row r="4">
      <c r="C4" s="8" t="inlineStr">
        <is>
          <t>Recipe in use (Control Panel)</t>
        </is>
      </c>
      <c r="D4" s="65" t="str">
        <f>Recipe_SPLUS</f>
        <v>Balanced</v>
      </c>
      <c r="E4" s="65" t="str">
        <f>Recipe_S</f>
        <v>Balanced</v>
      </c>
      <c r="F4" s="65" t="str">
        <f>Recipe_D</f>
        <v>Balanced</v>
      </c>
      <c r="G4" s="8" t="inlineStr">
        <is>
          <t>Build</t>
        </is>
      </c>
      <c r="J4" s="39">
        <f>SUMIFS(J$16:J$45,$B$16:$B$45,"Build")</f>
        <v>677200</v>
      </c>
      <c r="K4" s="39">
        <f>SUMIFS(K$16:K$45,$B$16:$B$45,"Build")</f>
        <v>359500</v>
      </c>
      <c r="L4" s="39">
        <f>SUMIFS(L$16:L$45,$B$16:$B$45,"Build")</f>
        <v>210600</v>
      </c>
    </row>
    <row r="5">
      <c r="C5" s="8" t="inlineStr">
        <is>
          <t>Floor area (ft²)</t>
        </is>
      </c>
      <c r="D5" s="66">
        <f>Area_SPLUS</f>
        <v>3400</v>
      </c>
      <c r="E5" s="66">
        <f>Area_S</f>
        <v>1650</v>
      </c>
      <c r="F5" s="66">
        <f>Area_D</f>
        <v>900</v>
      </c>
      <c r="G5" s="8" t="inlineStr">
        <is>
          <t>Tech</t>
        </is>
      </c>
      <c r="J5" s="39">
        <f>SUMIFS(J$16:J$45,$B$16:$B$45,"Tech")</f>
        <v>377000</v>
      </c>
      <c r="K5" s="39">
        <f>SUMIFS(K$16:K$45,$B$16:$B$45,"Tech")</f>
        <v>228000</v>
      </c>
      <c r="L5" s="39">
        <f>SUMIFS(L$16:L$45,$B$16:$B$45,"Tech")</f>
        <v>119000</v>
      </c>
    </row>
    <row r="6">
      <c r="B6" s="34" t="inlineStr">
        <is>
          <t>Switch</t>
        </is>
      </c>
      <c r="C6" s="34" t="inlineStr">
        <is>
          <t>Build</t>
        </is>
      </c>
      <c r="D6" s="35" t="n"/>
      <c r="E6" s="35" t="n"/>
      <c r="F6" s="35" t="n"/>
      <c r="G6" s="8" t="inlineStr">
        <is>
          <t>Design</t>
        </is>
      </c>
      <c r="J6" s="39">
        <f>SUMIFS(J$16:J$45,$B$16:$B$45,"Design")</f>
        <v>66000</v>
      </c>
      <c r="K6" s="39">
        <f>SUMIFS(K$16:K$45,$B$16:$B$45,"Design")</f>
        <v>44000</v>
      </c>
      <c r="L6" s="39">
        <f>SUMIFS(L$16:L$45,$B$16:$B$45,"Design")</f>
        <v>27000</v>
      </c>
    </row>
    <row r="7">
      <c r="C7" s="34" t="inlineStr">
        <is>
          <t>Tech</t>
        </is>
      </c>
      <c r="D7" s="35" t="n"/>
      <c r="E7" s="35" t="n"/>
      <c r="F7" s="35" t="n"/>
      <c r="G7" s="8" t="inlineStr">
        <is>
          <t>Business</t>
        </is>
      </c>
      <c r="J7" s="39">
        <f>SUMIFS(J$16:J$45,$B$16:$B$45,"Business")</f>
        <v>296130</v>
      </c>
      <c r="K7" s="39">
        <f>SUMIFS(K$16:K$45,$B$16:$B$45,"Business")</f>
        <v>168125</v>
      </c>
      <c r="L7" s="39">
        <f>SUMIFS(L$16:L$45,$B$16:$B$45,"Business")</f>
        <v>96440</v>
      </c>
    </row>
    <row r="8">
      <c r="C8" s="34" t="inlineStr">
        <is>
          <t>Design</t>
        </is>
      </c>
      <c r="D8" s="35" t="n"/>
      <c r="E8" s="35" t="n"/>
      <c r="F8" s="35" t="n"/>
      <c r="G8" s="34" t="inlineStr">
        <is>
          <t>Store build</t>
        </is>
      </c>
      <c r="J8" s="67">
        <f>SUM(J4:J7)</f>
        <v>1416330</v>
      </c>
      <c r="K8" s="67">
        <f>SUM(K4:K7)</f>
        <v>799625</v>
      </c>
      <c r="L8" s="67">
        <f>SUM(L4:L7)</f>
        <v>453040</v>
      </c>
    </row>
    <row r="9">
      <c r="C9" s="34" t="inlineStr">
        <is>
          <t>Business</t>
        </is>
      </c>
      <c r="D9" s="35" t="n"/>
      <c r="E9" s="35" t="n"/>
      <c r="F9" s="35" t="n"/>
      <c r="G9" s="40" t="str">
        <f>"Per "&amp;AreaUnit</f>
        <v>Per ft²</v>
      </c>
      <c r="J9" s="39">
        <f>J8/Area_SPLUS*AreaFactor</f>
        <v>416.567647058824</v>
      </c>
      <c r="K9" s="39">
        <f>K8/Area_S*AreaFactor</f>
        <v>484.621212121212</v>
      </c>
      <c r="L9" s="39">
        <f>L8/Area_D*AreaFactor</f>
        <v>503.377777777778</v>
      </c>
    </row>
    <row r="10">
      <c r="C10" s="68" t="inlineStr">
        <is>
          <t>Recipe letter</t>
        </is>
      </c>
      <c r="D10" s="69" t="str">
        <f>INDEX(RecipeLetters,MATCH(Recipe_SPLUS,RecipeList,0))</f>
        <v>B</v>
      </c>
      <c r="E10" s="69" t="str">
        <f>INDEX(RecipeLetters,MATCH(Recipe_S,RecipeList,0))</f>
        <v>B</v>
      </c>
      <c r="F10" s="69" t="str">
        <f>INDEX(RecipeLetters,MATCH(Recipe_D,RecipeList,0))</f>
        <v>B</v>
      </c>
      <c r="G10" s="8" t="inlineStr">
        <is>
          <t>One-time (per size)</t>
        </is>
      </c>
      <c r="J10" s="39">
        <f>J52</f>
        <v>220000</v>
      </c>
      <c r="K10" s="39">
        <f>K52</f>
        <v>117000</v>
      </c>
      <c r="L10" s="39">
        <f>L52</f>
        <v>65000</v>
      </c>
    </row>
    <row r="11">
      <c r="G11" s="34" t="inlineStr">
        <is>
          <t>All in</t>
        </is>
      </c>
      <c r="J11" s="67">
        <f>J8+J10</f>
        <v>1636330</v>
      </c>
      <c r="K11" s="67">
        <f>K8+K10</f>
        <v>916625</v>
      </c>
      <c r="L11" s="67">
        <f>L8+L10</f>
        <v>518040</v>
      </c>
    </row>
    <row r="12">
      <c r="G12" s="8" t="inlineStr">
        <is>
          <t>Program setup (shared)</t>
        </is>
      </c>
      <c r="J12" s="70">
        <f>J61</f>
        <v>356000</v>
      </c>
    </row>
    <row r="14">
      <c r="A14" s="71" t="n"/>
      <c r="B14" s="71" t="n"/>
      <c r="C14" s="71" t="n"/>
      <c r="D14" s="72" t="inlineStr">
        <is>
          <t>Your call</t>
        </is>
      </c>
      <c r="E14" s="71" t="n"/>
      <c r="F14" s="71" t="n"/>
      <c r="G14" s="72" t="inlineStr">
        <is>
          <t>State</t>
        </is>
      </c>
      <c r="H14" s="71" t="n"/>
      <c r="I14" s="71" t="n"/>
      <c r="J14" s="72" t="inlineStr">
        <is>
          <t>First store $</t>
        </is>
      </c>
      <c r="K14" s="71" t="n"/>
      <c r="L14" s="71" t="n"/>
      <c r="M14" s="72" t="inlineStr">
        <is>
          <t>Your $ (replaces the amount)</t>
        </is>
      </c>
      <c r="N14" s="71" t="n"/>
      <c r="O14" s="71" t="n"/>
      <c r="P14" s="72" t="inlineStr">
        <is>
          <t>Charged</t>
        </is>
      </c>
      <c r="Q14" s="72" t="inlineStr">
        <is>
          <t>Gets cheaper with</t>
        </is>
      </c>
      <c r="R14" s="72" t="inlineStr">
        <is>
          <t>Base rate or amount</t>
        </is>
      </c>
      <c r="S14" s="71" t="n"/>
      <c r="T14" s="71" t="n"/>
      <c r="U14" s="72" t="inlineStr">
        <is>
          <t>In recipes</t>
        </is>
      </c>
      <c r="V14" s="71" t="n"/>
      <c r="W14" s="71" t="n"/>
      <c r="X14" s="72" t="inlineStr">
        <is>
          <t>Note</t>
        </is>
      </c>
      <c r="Z14" s="73" t="inlineStr">
        <is>
          <t>First store $ under each recipe (feeds Compare)</t>
        </is>
      </c>
    </row>
    <row r="15" ht="18" customHeight="1">
      <c r="A15" s="10" t="inlineStr">
        <is>
          <t>ID</t>
        </is>
      </c>
      <c r="B15" s="11" t="inlineStr">
        <is>
          <t>Bucket</t>
        </is>
      </c>
      <c r="C15" s="11" t="inlineStr">
        <is>
          <t>Line item</t>
        </is>
      </c>
      <c r="D15" s="28" t="inlineStr">
        <is>
          <t>SPLUS</t>
        </is>
      </c>
      <c r="E15" s="29" t="inlineStr">
        <is>
          <t>S</t>
        </is>
      </c>
      <c r="F15" s="30" t="inlineStr">
        <is>
          <t>D</t>
        </is>
      </c>
      <c r="G15" s="28" t="inlineStr">
        <is>
          <t>SPLUS</t>
        </is>
      </c>
      <c r="H15" s="29" t="inlineStr">
        <is>
          <t>S</t>
        </is>
      </c>
      <c r="I15" s="30" t="inlineStr">
        <is>
          <t>D</t>
        </is>
      </c>
      <c r="J15" s="28" t="inlineStr">
        <is>
          <t>SPLUS</t>
        </is>
      </c>
      <c r="K15" s="29" t="inlineStr">
        <is>
          <t>S</t>
        </is>
      </c>
      <c r="L15" s="30" t="inlineStr">
        <is>
          <t>D</t>
        </is>
      </c>
      <c r="M15" s="28" t="inlineStr">
        <is>
          <t>SPLUS</t>
        </is>
      </c>
      <c r="N15" s="29" t="inlineStr">
        <is>
          <t>S</t>
        </is>
      </c>
      <c r="O15" s="30" t="inlineStr">
        <is>
          <t>D</t>
        </is>
      </c>
      <c r="P15" s="11" t="inlineStr"/>
      <c r="Q15" s="11" t="inlineStr"/>
      <c r="R15" s="28" t="inlineStr">
        <is>
          <t>SPLUS</t>
        </is>
      </c>
      <c r="S15" s="29" t="inlineStr">
        <is>
          <t>S</t>
        </is>
      </c>
      <c r="T15" s="30" t="inlineStr">
        <is>
          <t>D</t>
        </is>
      </c>
      <c r="U15" s="28" t="inlineStr">
        <is>
          <t>SPLUS</t>
        </is>
      </c>
      <c r="V15" s="29" t="inlineStr">
        <is>
          <t>S</t>
        </is>
      </c>
      <c r="W15" s="30" t="inlineStr">
        <is>
          <t>D</t>
        </is>
      </c>
      <c r="X15" s="11" t="inlineStr"/>
      <c r="Z15" s="74" t="inlineStr">
        <is>
          <t>Lean SPLUS</t>
        </is>
      </c>
      <c r="AA15" s="74" t="inlineStr">
        <is>
          <t>Lean S</t>
        </is>
      </c>
      <c r="AB15" s="74" t="inlineStr">
        <is>
          <t>Lean D</t>
        </is>
      </c>
      <c r="AC15" s="74" t="inlineStr">
        <is>
          <t>Balanced SPLUS</t>
        </is>
      </c>
      <c r="AD15" s="74" t="inlineStr">
        <is>
          <t>Balanced S</t>
        </is>
      </c>
      <c r="AE15" s="74" t="inlineStr">
        <is>
          <t>Balanced D</t>
        </is>
      </c>
      <c r="AF15" s="74" t="inlineStr">
        <is>
          <t>Showcase SPLUS</t>
        </is>
      </c>
      <c r="AG15" s="74" t="inlineStr">
        <is>
          <t>Showcase S</t>
        </is>
      </c>
      <c r="AH15" s="74" t="inlineStr">
        <is>
          <t>Showcase D</t>
        </is>
      </c>
    </row>
    <row r="16">
      <c r="A16" s="3" t="inlineStr">
        <is>
          <t>BLD-01</t>
        </is>
      </c>
      <c r="B16" s="8" t="inlineStr">
        <is>
          <t>Build</t>
        </is>
      </c>
      <c r="C16" s="8" t="inlineStr">
        <is>
          <t>Site preparation and strip-out</t>
        </is>
      </c>
      <c r="D16" s="35" t="n"/>
      <c r="E16" s="35" t="n"/>
      <c r="F16" s="35" t="n"/>
      <c r="G16" s="75" t="str">
        <f>IF(INDEX(D$6:D$9,MATCH($B16,$C$6:$C$9,0))="OFF","OFF",IF(D16&lt;&gt;"",D16,IF(ISNUMBER(SEARCH(D$10,U16)),"ON","OFF")))</f>
        <v>ON</v>
      </c>
      <c r="H16" s="75" t="str">
        <f>IF(INDEX(E$6:E$9,MATCH($B16,$C$6:$C$9,0))="OFF","OFF",IF(E16&lt;&gt;"",E16,IF(ISNUMBER(SEARCH(E$10,V16)),"ON","OFF")))</f>
        <v>ON</v>
      </c>
      <c r="I16" s="75" t="str">
        <f>IF(INDEX(F$6:F$9,MATCH($B16,$C$6:$C$9,0))="OFF","OFF",IF(F16&lt;&gt;"",F16,IF(ISNUMBER(SEARCH(F$10,W16)),"ON","OFF")))</f>
        <v>ON</v>
      </c>
      <c r="J16" s="39">
        <f>IF(G16="OFF",0,IF(M16&lt;&gt;"",M16,R16*Area_SPLUS))</f>
        <v>30600</v>
      </c>
      <c r="K16" s="39">
        <f>IF(H16="OFF",0,IF(N16&lt;&gt;"",N16,S16*Area_S))</f>
        <v>16500</v>
      </c>
      <c r="L16" s="39">
        <f>IF(I16="OFF",0,IF(O16&lt;&gt;"",O16,T16*Area_D))</f>
        <v>9900</v>
      </c>
      <c r="M16" s="54" t="n"/>
      <c r="N16" s="54" t="n"/>
      <c r="O16" s="54" t="n"/>
      <c r="P16" s="38" t="inlineStr">
        <is>
          <t>per ft²</t>
        </is>
      </c>
      <c r="Q16" s="38" t="inlineStr">
        <is>
          <t>Learning</t>
        </is>
      </c>
      <c r="R16" s="54" t="n">
        <v>9</v>
      </c>
      <c r="S16" s="54" t="n">
        <v>10</v>
      </c>
      <c r="T16" s="54" t="n">
        <v>11</v>
      </c>
      <c r="U16" s="35" t="inlineStr">
        <is>
          <t>LBS</t>
        </is>
      </c>
      <c r="V16" s="35" t="inlineStr">
        <is>
          <t>LBS</t>
        </is>
      </c>
      <c r="W16" s="35" t="inlineStr">
        <is>
          <t>LBS</t>
        </is>
      </c>
      <c r="X16" s="38" t="inlineStr">
        <is>
          <t>Mostly labour: crews get faster with every store.</t>
        </is>
      </c>
      <c r="Z16" s="76">
        <f>IF(OR(INDEX(D$6:D$9,MATCH($B16,$C$6:$C$9,0))="OFF",IF(D16&lt;&gt;"",D16,IF(ISNUMBER(SEARCH("L",U16)),"ON","OFF"))="OFF"),0,IF(M16&lt;&gt;"",M16,R16*Area_SPLUS))</f>
        <v>30600</v>
      </c>
      <c r="AA16" s="76">
        <f>IF(OR(INDEX(E$6:E$9,MATCH($B16,$C$6:$C$9,0))="OFF",IF(E16&lt;&gt;"",E16,IF(ISNUMBER(SEARCH("L",V16)),"ON","OFF"))="OFF"),0,IF(N16&lt;&gt;"",N16,S16*Area_S))</f>
        <v>16500</v>
      </c>
      <c r="AB16" s="76">
        <f>IF(OR(INDEX(F$6:F$9,MATCH($B16,$C$6:$C$9,0))="OFF",IF(F16&lt;&gt;"",F16,IF(ISNUMBER(SEARCH("L",W16)),"ON","OFF"))="OFF"),0,IF(O16&lt;&gt;"",O16,T16*Area_D))</f>
        <v>9900</v>
      </c>
      <c r="AC16" s="76">
        <f>IF(OR(INDEX(D$6:D$9,MATCH($B16,$C$6:$C$9,0))="OFF",IF(D16&lt;&gt;"",D16,IF(ISNUMBER(SEARCH("B",U16)),"ON","OFF"))="OFF"),0,IF(M16&lt;&gt;"",M16,R16*Area_SPLUS))</f>
        <v>30600</v>
      </c>
      <c r="AD16" s="76">
        <f>IF(OR(INDEX(E$6:E$9,MATCH($B16,$C$6:$C$9,0))="OFF",IF(E16&lt;&gt;"",E16,IF(ISNUMBER(SEARCH("B",V16)),"ON","OFF"))="OFF"),0,IF(N16&lt;&gt;"",N16,S16*Area_S))</f>
        <v>16500</v>
      </c>
      <c r="AE16" s="76">
        <f>IF(OR(INDEX(F$6:F$9,MATCH($B16,$C$6:$C$9,0))="OFF",IF(F16&lt;&gt;"",F16,IF(ISNUMBER(SEARCH("B",W16)),"ON","OFF"))="OFF"),0,IF(O16&lt;&gt;"",O16,T16*Area_D))</f>
        <v>9900</v>
      </c>
      <c r="AF16" s="76">
        <f>IF(OR(INDEX(D$6:D$9,MATCH($B16,$C$6:$C$9,0))="OFF",IF(D16&lt;&gt;"",D16,IF(ISNUMBER(SEARCH("S",U16)),"ON","OFF"))="OFF"),0,IF(M16&lt;&gt;"",M16,R16*Area_SPLUS))</f>
        <v>30600</v>
      </c>
      <c r="AG16" s="76">
        <f>IF(OR(INDEX(E$6:E$9,MATCH($B16,$C$6:$C$9,0))="OFF",IF(E16&lt;&gt;"",E16,IF(ISNUMBER(SEARCH("S",V16)),"ON","OFF"))="OFF"),0,IF(N16&lt;&gt;"",N16,S16*Area_S))</f>
        <v>16500</v>
      </c>
      <c r="AH16" s="76">
        <f>IF(OR(INDEX(F$6:F$9,MATCH($B16,$C$6:$C$9,0))="OFF",IF(F16&lt;&gt;"",F16,IF(ISNUMBER(SEARCH("S",W16)),"ON","OFF"))="OFF"),0,IF(O16&lt;&gt;"",O16,T16*Area_D))</f>
        <v>9900</v>
      </c>
    </row>
    <row r="17">
      <c r="A17" s="3" t="inlineStr">
        <is>
          <t>BLD-02</t>
        </is>
      </c>
      <c r="B17" s="8" t="inlineStr">
        <is>
          <t>Build</t>
        </is>
      </c>
      <c r="C17" s="8" t="inlineStr">
        <is>
          <t>Flooring</t>
        </is>
      </c>
      <c r="D17" s="35" t="n"/>
      <c r="E17" s="35" t="n"/>
      <c r="F17" s="35" t="n"/>
      <c r="G17" s="75" t="str">
        <f>IF(INDEX(D$6:D$9,MATCH($B17,$C$6:$C$9,0))="OFF","OFF",IF(D17&lt;&gt;"",D17,IF(ISNUMBER(SEARCH(D$10,U17)),"ON","OFF")))</f>
        <v>ON</v>
      </c>
      <c r="H17" s="75" t="str">
        <f>IF(INDEX(E$6:E$9,MATCH($B17,$C$6:$C$9,0))="OFF","OFF",IF(E17&lt;&gt;"",E17,IF(ISNUMBER(SEARCH(E$10,V17)),"ON","OFF")))</f>
        <v>ON</v>
      </c>
      <c r="I17" s="75" t="str">
        <f>IF(INDEX(F$6:F$9,MATCH($B17,$C$6:$C$9,0))="OFF","OFF",IF(F17&lt;&gt;"",F17,IF(ISNUMBER(SEARCH(F$10,W17)),"ON","OFF")))</f>
        <v>ON</v>
      </c>
      <c r="J17" s="39">
        <f>IF(G17="OFF",0,IF(M17&lt;&gt;"",M17,R17*Area_SPLUS))</f>
        <v>81600</v>
      </c>
      <c r="K17" s="39">
        <f>IF(H17="OFF",0,IF(N17&lt;&gt;"",N17,S17*Area_S))</f>
        <v>37950</v>
      </c>
      <c r="L17" s="39">
        <f>IF(I17="OFF",0,IF(O17&lt;&gt;"",O17,T17*Area_D))</f>
        <v>20700</v>
      </c>
      <c r="M17" s="54" t="n"/>
      <c r="N17" s="54" t="n"/>
      <c r="O17" s="54" t="n"/>
      <c r="P17" s="38" t="inlineStr">
        <is>
          <t>per ft²</t>
        </is>
      </c>
      <c r="Q17" s="38" t="inlineStr">
        <is>
          <t>Price breaks</t>
        </is>
      </c>
      <c r="R17" s="54" t="n">
        <v>24</v>
      </c>
      <c r="S17" s="54" t="n">
        <v>23</v>
      </c>
      <c r="T17" s="54" t="n">
        <v>23</v>
      </c>
      <c r="U17" s="35" t="inlineStr">
        <is>
          <t>LBS</t>
        </is>
      </c>
      <c r="V17" s="35" t="inlineStr">
        <is>
          <t>LBS</t>
        </is>
      </c>
      <c r="W17" s="35" t="inlineStr">
        <is>
          <t>LBS</t>
        </is>
      </c>
      <c r="X17" s="38" t="inlineStr">
        <is>
          <t>Bought material: cheaper per ft² as order volumes grow.</t>
        </is>
      </c>
      <c r="Z17" s="76">
        <f>IF(OR(INDEX(D$6:D$9,MATCH($B17,$C$6:$C$9,0))="OFF",IF(D17&lt;&gt;"",D17,IF(ISNUMBER(SEARCH("L",U17)),"ON","OFF"))="OFF"),0,IF(M17&lt;&gt;"",M17,R17*Area_SPLUS))</f>
        <v>81600</v>
      </c>
      <c r="AA17" s="76">
        <f>IF(OR(INDEX(E$6:E$9,MATCH($B17,$C$6:$C$9,0))="OFF",IF(E17&lt;&gt;"",E17,IF(ISNUMBER(SEARCH("L",V17)),"ON","OFF"))="OFF"),0,IF(N17&lt;&gt;"",N17,S17*Area_S))</f>
        <v>37950</v>
      </c>
      <c r="AB17" s="76">
        <f>IF(OR(INDEX(F$6:F$9,MATCH($B17,$C$6:$C$9,0))="OFF",IF(F17&lt;&gt;"",F17,IF(ISNUMBER(SEARCH("L",W17)),"ON","OFF"))="OFF"),0,IF(O17&lt;&gt;"",O17,T17*Area_D))</f>
        <v>20700</v>
      </c>
      <c r="AC17" s="76">
        <f>IF(OR(INDEX(D$6:D$9,MATCH($B17,$C$6:$C$9,0))="OFF",IF(D17&lt;&gt;"",D17,IF(ISNUMBER(SEARCH("B",U17)),"ON","OFF"))="OFF"),0,IF(M17&lt;&gt;"",M17,R17*Area_SPLUS))</f>
        <v>81600</v>
      </c>
      <c r="AD17" s="76">
        <f>IF(OR(INDEX(E$6:E$9,MATCH($B17,$C$6:$C$9,0))="OFF",IF(E17&lt;&gt;"",E17,IF(ISNUMBER(SEARCH("B",V17)),"ON","OFF"))="OFF"),0,IF(N17&lt;&gt;"",N17,S17*Area_S))</f>
        <v>37950</v>
      </c>
      <c r="AE17" s="76">
        <f>IF(OR(INDEX(F$6:F$9,MATCH($B17,$C$6:$C$9,0))="OFF",IF(F17&lt;&gt;"",F17,IF(ISNUMBER(SEARCH("B",W17)),"ON","OFF"))="OFF"),0,IF(O17&lt;&gt;"",O17,T17*Area_D))</f>
        <v>20700</v>
      </c>
      <c r="AF17" s="76">
        <f>IF(OR(INDEX(D$6:D$9,MATCH($B17,$C$6:$C$9,0))="OFF",IF(D17&lt;&gt;"",D17,IF(ISNUMBER(SEARCH("S",U17)),"ON","OFF"))="OFF"),0,IF(M17&lt;&gt;"",M17,R17*Area_SPLUS))</f>
        <v>81600</v>
      </c>
      <c r="AG17" s="76">
        <f>IF(OR(INDEX(E$6:E$9,MATCH($B17,$C$6:$C$9,0))="OFF",IF(E17&lt;&gt;"",E17,IF(ISNUMBER(SEARCH("S",V17)),"ON","OFF"))="OFF"),0,IF(N17&lt;&gt;"",N17,S17*Area_S))</f>
        <v>37950</v>
      </c>
      <c r="AH17" s="76">
        <f>IF(OR(INDEX(F$6:F$9,MATCH($B17,$C$6:$C$9,0))="OFF",IF(F17&lt;&gt;"",F17,IF(ISNUMBER(SEARCH("S",W17)),"ON","OFF"))="OFF"),0,IF(O17&lt;&gt;"",O17,T17*Area_D))</f>
        <v>20700</v>
      </c>
    </row>
    <row r="18">
      <c r="A18" s="3" t="inlineStr">
        <is>
          <t>BLD-03</t>
        </is>
      </c>
      <c r="B18" s="8" t="inlineStr">
        <is>
          <t>Build</t>
        </is>
      </c>
      <c r="C18" s="8" t="inlineStr">
        <is>
          <t>Walls, ceilings and joinery</t>
        </is>
      </c>
      <c r="D18" s="35" t="n"/>
      <c r="E18" s="35" t="n"/>
      <c r="F18" s="35" t="n"/>
      <c r="G18" s="75" t="str">
        <f>IF(INDEX(D$6:D$9,MATCH($B18,$C$6:$C$9,0))="OFF","OFF",IF(D18&lt;&gt;"",D18,IF(ISNUMBER(SEARCH(D$10,U18)),"ON","OFF")))</f>
        <v>ON</v>
      </c>
      <c r="H18" s="75" t="str">
        <f>IF(INDEX(E$6:E$9,MATCH($B18,$C$6:$C$9,0))="OFF","OFF",IF(E18&lt;&gt;"",E18,IF(ISNUMBER(SEARCH(E$10,V18)),"ON","OFF")))</f>
        <v>ON</v>
      </c>
      <c r="I18" s="75" t="str">
        <f>IF(INDEX(F$6:F$9,MATCH($B18,$C$6:$C$9,0))="OFF","OFF",IF(F18&lt;&gt;"",F18,IF(ISNUMBER(SEARCH(F$10,W18)),"ON","OFF")))</f>
        <v>ON</v>
      </c>
      <c r="J18" s="39">
        <f>IF(G18="OFF",0,IF(M18&lt;&gt;"",M18,R18*Area_SPLUS))</f>
        <v>136000</v>
      </c>
      <c r="K18" s="39">
        <f>IF(H18="OFF",0,IF(N18&lt;&gt;"",N18,S18*Area_S))</f>
        <v>69300</v>
      </c>
      <c r="L18" s="39">
        <f>IF(I18="OFF",0,IF(O18&lt;&gt;"",O18,T18*Area_D))</f>
        <v>39600</v>
      </c>
      <c r="M18" s="54" t="n"/>
      <c r="N18" s="54" t="n"/>
      <c r="O18" s="54" t="n"/>
      <c r="P18" s="38" t="inlineStr">
        <is>
          <t>per ft²</t>
        </is>
      </c>
      <c r="Q18" s="38" t="inlineStr">
        <is>
          <t>Learning</t>
        </is>
      </c>
      <c r="R18" s="54" t="n">
        <v>40</v>
      </c>
      <c r="S18" s="54" t="n">
        <v>42</v>
      </c>
      <c r="T18" s="54" t="n">
        <v>44</v>
      </c>
      <c r="U18" s="35" t="inlineStr">
        <is>
          <t>LBS</t>
        </is>
      </c>
      <c r="V18" s="35" t="inlineStr">
        <is>
          <t>LBS</t>
        </is>
      </c>
      <c r="W18" s="35" t="inlineStr">
        <is>
          <t>LBS</t>
        </is>
      </c>
      <c r="X18" s="38" t="inlineStr">
        <is>
          <t>Smaller stores pay more per ft²: more corners and edges per ft².</t>
        </is>
      </c>
      <c r="Z18" s="76">
        <f>IF(OR(INDEX(D$6:D$9,MATCH($B18,$C$6:$C$9,0))="OFF",IF(D18&lt;&gt;"",D18,IF(ISNUMBER(SEARCH("L",U18)),"ON","OFF"))="OFF"),0,IF(M18&lt;&gt;"",M18,R18*Area_SPLUS))</f>
        <v>136000</v>
      </c>
      <c r="AA18" s="76">
        <f>IF(OR(INDEX(E$6:E$9,MATCH($B18,$C$6:$C$9,0))="OFF",IF(E18&lt;&gt;"",E18,IF(ISNUMBER(SEARCH("L",V18)),"ON","OFF"))="OFF"),0,IF(N18&lt;&gt;"",N18,S18*Area_S))</f>
        <v>69300</v>
      </c>
      <c r="AB18" s="76">
        <f>IF(OR(INDEX(F$6:F$9,MATCH($B18,$C$6:$C$9,0))="OFF",IF(F18&lt;&gt;"",F18,IF(ISNUMBER(SEARCH("L",W18)),"ON","OFF"))="OFF"),0,IF(O18&lt;&gt;"",O18,T18*Area_D))</f>
        <v>39600</v>
      </c>
      <c r="AC18" s="76">
        <f>IF(OR(INDEX(D$6:D$9,MATCH($B18,$C$6:$C$9,0))="OFF",IF(D18&lt;&gt;"",D18,IF(ISNUMBER(SEARCH("B",U18)),"ON","OFF"))="OFF"),0,IF(M18&lt;&gt;"",M18,R18*Area_SPLUS))</f>
        <v>136000</v>
      </c>
      <c r="AD18" s="76">
        <f>IF(OR(INDEX(E$6:E$9,MATCH($B18,$C$6:$C$9,0))="OFF",IF(E18&lt;&gt;"",E18,IF(ISNUMBER(SEARCH("B",V18)),"ON","OFF"))="OFF"),0,IF(N18&lt;&gt;"",N18,S18*Area_S))</f>
        <v>69300</v>
      </c>
      <c r="AE18" s="76">
        <f>IF(OR(INDEX(F$6:F$9,MATCH($B18,$C$6:$C$9,0))="OFF",IF(F18&lt;&gt;"",F18,IF(ISNUMBER(SEARCH("B",W18)),"ON","OFF"))="OFF"),0,IF(O18&lt;&gt;"",O18,T18*Area_D))</f>
        <v>39600</v>
      </c>
      <c r="AF18" s="76">
        <f>IF(OR(INDEX(D$6:D$9,MATCH($B18,$C$6:$C$9,0))="OFF",IF(D18&lt;&gt;"",D18,IF(ISNUMBER(SEARCH("S",U18)),"ON","OFF"))="OFF"),0,IF(M18&lt;&gt;"",M18,R18*Area_SPLUS))</f>
        <v>136000</v>
      </c>
      <c r="AG18" s="76">
        <f>IF(OR(INDEX(E$6:E$9,MATCH($B18,$C$6:$C$9,0))="OFF",IF(E18&lt;&gt;"",E18,IF(ISNUMBER(SEARCH("S",V18)),"ON","OFF"))="OFF"),0,IF(N18&lt;&gt;"",N18,S18*Area_S))</f>
        <v>69300</v>
      </c>
      <c r="AH18" s="76">
        <f>IF(OR(INDEX(F$6:F$9,MATCH($B18,$C$6:$C$9,0))="OFF",IF(F18&lt;&gt;"",F18,IF(ISNUMBER(SEARCH("S",W18)),"ON","OFF"))="OFF"),0,IF(O18&lt;&gt;"",O18,T18*Area_D))</f>
        <v>39600</v>
      </c>
    </row>
    <row r="19">
      <c r="A19" s="3" t="inlineStr">
        <is>
          <t>BLD-04</t>
        </is>
      </c>
      <c r="B19" s="8" t="inlineStr">
        <is>
          <t>Build</t>
        </is>
      </c>
      <c r="C19" s="8" t="inlineStr">
        <is>
          <t>Electrical and data cabling</t>
        </is>
      </c>
      <c r="D19" s="35" t="n"/>
      <c r="E19" s="35" t="n"/>
      <c r="F19" s="35" t="n"/>
      <c r="G19" s="75" t="str">
        <f>IF(INDEX(D$6:D$9,MATCH($B19,$C$6:$C$9,0))="OFF","OFF",IF(D19&lt;&gt;"",D19,IF(ISNUMBER(SEARCH(D$10,U19)),"ON","OFF")))</f>
        <v>ON</v>
      </c>
      <c r="H19" s="75" t="str">
        <f>IF(INDEX(E$6:E$9,MATCH($B19,$C$6:$C$9,0))="OFF","OFF",IF(E19&lt;&gt;"",E19,IF(ISNUMBER(SEARCH(E$10,V19)),"ON","OFF")))</f>
        <v>ON</v>
      </c>
      <c r="I19" s="75" t="str">
        <f>IF(INDEX(F$6:F$9,MATCH($B19,$C$6:$C$9,0))="OFF","OFF",IF(F19&lt;&gt;"",F19,IF(ISNUMBER(SEARCH(F$10,W19)),"ON","OFF")))</f>
        <v>ON</v>
      </c>
      <c r="J19" s="39">
        <f>IF(G19="OFF",0,IF(M19&lt;&gt;"",M19,R19*Area_SPLUS))</f>
        <v>71400</v>
      </c>
      <c r="K19" s="39">
        <f>IF(H19="OFF",0,IF(N19&lt;&gt;"",N19,S19*Area_S))</f>
        <v>36300</v>
      </c>
      <c r="L19" s="39">
        <f>IF(I19="OFF",0,IF(O19&lt;&gt;"",O19,T19*Area_D))</f>
        <v>20700</v>
      </c>
      <c r="M19" s="54" t="n"/>
      <c r="N19" s="54" t="n"/>
      <c r="O19" s="54" t="n"/>
      <c r="P19" s="38" t="inlineStr">
        <is>
          <t>per ft²</t>
        </is>
      </c>
      <c r="Q19" s="38" t="inlineStr">
        <is>
          <t>Learning</t>
        </is>
      </c>
      <c r="R19" s="54" t="n">
        <v>21</v>
      </c>
      <c r="S19" s="54" t="n">
        <v>22</v>
      </c>
      <c r="T19" s="54" t="n">
        <v>23</v>
      </c>
      <c r="U19" s="35" t="inlineStr">
        <is>
          <t>LBS</t>
        </is>
      </c>
      <c r="V19" s="35" t="inlineStr">
        <is>
          <t>LBS</t>
        </is>
      </c>
      <c r="W19" s="35" t="inlineStr">
        <is>
          <t>LBS</t>
        </is>
      </c>
      <c r="X19" s="38" t="inlineStr"/>
      <c r="Z19" s="76">
        <f>IF(OR(INDEX(D$6:D$9,MATCH($B19,$C$6:$C$9,0))="OFF",IF(D19&lt;&gt;"",D19,IF(ISNUMBER(SEARCH("L",U19)),"ON","OFF"))="OFF"),0,IF(M19&lt;&gt;"",M19,R19*Area_SPLUS))</f>
        <v>71400</v>
      </c>
      <c r="AA19" s="76">
        <f>IF(OR(INDEX(E$6:E$9,MATCH($B19,$C$6:$C$9,0))="OFF",IF(E19&lt;&gt;"",E19,IF(ISNUMBER(SEARCH("L",V19)),"ON","OFF"))="OFF"),0,IF(N19&lt;&gt;"",N19,S19*Area_S))</f>
        <v>36300</v>
      </c>
      <c r="AB19" s="76">
        <f>IF(OR(INDEX(F$6:F$9,MATCH($B19,$C$6:$C$9,0))="OFF",IF(F19&lt;&gt;"",F19,IF(ISNUMBER(SEARCH("L",W19)),"ON","OFF"))="OFF"),0,IF(O19&lt;&gt;"",O19,T19*Area_D))</f>
        <v>20700</v>
      </c>
      <c r="AC19" s="76">
        <f>IF(OR(INDEX(D$6:D$9,MATCH($B19,$C$6:$C$9,0))="OFF",IF(D19&lt;&gt;"",D19,IF(ISNUMBER(SEARCH("B",U19)),"ON","OFF"))="OFF"),0,IF(M19&lt;&gt;"",M19,R19*Area_SPLUS))</f>
        <v>71400</v>
      </c>
      <c r="AD19" s="76">
        <f>IF(OR(INDEX(E$6:E$9,MATCH($B19,$C$6:$C$9,0))="OFF",IF(E19&lt;&gt;"",E19,IF(ISNUMBER(SEARCH("B",V19)),"ON","OFF"))="OFF"),0,IF(N19&lt;&gt;"",N19,S19*Area_S))</f>
        <v>36300</v>
      </c>
      <c r="AE19" s="76">
        <f>IF(OR(INDEX(F$6:F$9,MATCH($B19,$C$6:$C$9,0))="OFF",IF(F19&lt;&gt;"",F19,IF(ISNUMBER(SEARCH("B",W19)),"ON","OFF"))="OFF"),0,IF(O19&lt;&gt;"",O19,T19*Area_D))</f>
        <v>20700</v>
      </c>
      <c r="AF19" s="76">
        <f>IF(OR(INDEX(D$6:D$9,MATCH($B19,$C$6:$C$9,0))="OFF",IF(D19&lt;&gt;"",D19,IF(ISNUMBER(SEARCH("S",U19)),"ON","OFF"))="OFF"),0,IF(M19&lt;&gt;"",M19,R19*Area_SPLUS))</f>
        <v>71400</v>
      </c>
      <c r="AG19" s="76">
        <f>IF(OR(INDEX(E$6:E$9,MATCH($B19,$C$6:$C$9,0))="OFF",IF(E19&lt;&gt;"",E19,IF(ISNUMBER(SEARCH("S",V19)),"ON","OFF"))="OFF"),0,IF(N19&lt;&gt;"",N19,S19*Area_S))</f>
        <v>36300</v>
      </c>
      <c r="AH19" s="76">
        <f>IF(OR(INDEX(F$6:F$9,MATCH($B19,$C$6:$C$9,0))="OFF",IF(F19&lt;&gt;"",F19,IF(ISNUMBER(SEARCH("S",W19)),"ON","OFF"))="OFF"),0,IF(O19&lt;&gt;"",O19,T19*Area_D))</f>
        <v>20700</v>
      </c>
    </row>
    <row r="20">
      <c r="A20" s="3" t="inlineStr">
        <is>
          <t>BLD-05</t>
        </is>
      </c>
      <c r="B20" s="8" t="inlineStr">
        <is>
          <t>Build</t>
        </is>
      </c>
      <c r="C20" s="8" t="inlineStr">
        <is>
          <t>Air conditioning and fire protection</t>
        </is>
      </c>
      <c r="D20" s="35" t="n"/>
      <c r="E20" s="35" t="n"/>
      <c r="F20" s="35" t="n"/>
      <c r="G20" s="75" t="str">
        <f>IF(INDEX(D$6:D$9,MATCH($B20,$C$6:$C$9,0))="OFF","OFF",IF(D20&lt;&gt;"",D20,IF(ISNUMBER(SEARCH(D$10,U20)),"ON","OFF")))</f>
        <v>ON</v>
      </c>
      <c r="H20" s="75" t="str">
        <f>IF(INDEX(E$6:E$9,MATCH($B20,$C$6:$C$9,0))="OFF","OFF",IF(E20&lt;&gt;"",E20,IF(ISNUMBER(SEARCH(E$10,V20)),"ON","OFF")))</f>
        <v>ON</v>
      </c>
      <c r="I20" s="75" t="str">
        <f>IF(INDEX(F$6:F$9,MATCH($B20,$C$6:$C$9,0))="OFF","OFF",IF(F20&lt;&gt;"",F20,IF(ISNUMBER(SEARCH(F$10,W20)),"ON","OFF")))</f>
        <v>ON</v>
      </c>
      <c r="J20" s="39">
        <f>IF(G20="OFF",0,IF(M20&lt;&gt;"",M20,R20*Area_SPLUS))</f>
        <v>91800</v>
      </c>
      <c r="K20" s="39">
        <f>IF(H20="OFF",0,IF(N20&lt;&gt;"",N20,S20*Area_S))</f>
        <v>46200</v>
      </c>
      <c r="L20" s="39">
        <f>IF(I20="OFF",0,IF(O20&lt;&gt;"",O20,T20*Area_D))</f>
        <v>26100</v>
      </c>
      <c r="M20" s="54" t="n"/>
      <c r="N20" s="54" t="n"/>
      <c r="O20" s="54" t="n"/>
      <c r="P20" s="38" t="inlineStr">
        <is>
          <t>per ft²</t>
        </is>
      </c>
      <c r="Q20" s="38" t="inlineStr">
        <is>
          <t>No scale effect</t>
        </is>
      </c>
      <c r="R20" s="54" t="n">
        <v>27</v>
      </c>
      <c r="S20" s="54" t="n">
        <v>28</v>
      </c>
      <c r="T20" s="54" t="n">
        <v>29</v>
      </c>
      <c r="U20" s="35" t="inlineStr">
        <is>
          <t>LBS</t>
        </is>
      </c>
      <c r="V20" s="35" t="inlineStr">
        <is>
          <t>LBS</t>
        </is>
      </c>
      <c r="W20" s="35" t="inlineStr">
        <is>
          <t>LBS</t>
        </is>
      </c>
      <c r="X20" s="38" t="inlineStr">
        <is>
          <t>Local trades and building rules: no scale effect.</t>
        </is>
      </c>
      <c r="Z20" s="76">
        <f>IF(OR(INDEX(D$6:D$9,MATCH($B20,$C$6:$C$9,0))="OFF",IF(D20&lt;&gt;"",D20,IF(ISNUMBER(SEARCH("L",U20)),"ON","OFF"))="OFF"),0,IF(M20&lt;&gt;"",M20,R20*Area_SPLUS))</f>
        <v>91800</v>
      </c>
      <c r="AA20" s="76">
        <f>IF(OR(INDEX(E$6:E$9,MATCH($B20,$C$6:$C$9,0))="OFF",IF(E20&lt;&gt;"",E20,IF(ISNUMBER(SEARCH("L",V20)),"ON","OFF"))="OFF"),0,IF(N20&lt;&gt;"",N20,S20*Area_S))</f>
        <v>46200</v>
      </c>
      <c r="AB20" s="76">
        <f>IF(OR(INDEX(F$6:F$9,MATCH($B20,$C$6:$C$9,0))="OFF",IF(F20&lt;&gt;"",F20,IF(ISNUMBER(SEARCH("L",W20)),"ON","OFF"))="OFF"),0,IF(O20&lt;&gt;"",O20,T20*Area_D))</f>
        <v>26100</v>
      </c>
      <c r="AC20" s="76">
        <f>IF(OR(INDEX(D$6:D$9,MATCH($B20,$C$6:$C$9,0))="OFF",IF(D20&lt;&gt;"",D20,IF(ISNUMBER(SEARCH("B",U20)),"ON","OFF"))="OFF"),0,IF(M20&lt;&gt;"",M20,R20*Area_SPLUS))</f>
        <v>91800</v>
      </c>
      <c r="AD20" s="76">
        <f>IF(OR(INDEX(E$6:E$9,MATCH($B20,$C$6:$C$9,0))="OFF",IF(E20&lt;&gt;"",E20,IF(ISNUMBER(SEARCH("B",V20)),"ON","OFF"))="OFF"),0,IF(N20&lt;&gt;"",N20,S20*Area_S))</f>
        <v>46200</v>
      </c>
      <c r="AE20" s="76">
        <f>IF(OR(INDEX(F$6:F$9,MATCH($B20,$C$6:$C$9,0))="OFF",IF(F20&lt;&gt;"",F20,IF(ISNUMBER(SEARCH("B",W20)),"ON","OFF"))="OFF"),0,IF(O20&lt;&gt;"",O20,T20*Area_D))</f>
        <v>26100</v>
      </c>
      <c r="AF20" s="76">
        <f>IF(OR(INDEX(D$6:D$9,MATCH($B20,$C$6:$C$9,0))="OFF",IF(D20&lt;&gt;"",D20,IF(ISNUMBER(SEARCH("S",U20)),"ON","OFF"))="OFF"),0,IF(M20&lt;&gt;"",M20,R20*Area_SPLUS))</f>
        <v>91800</v>
      </c>
      <c r="AG20" s="76">
        <f>IF(OR(INDEX(E$6:E$9,MATCH($B20,$C$6:$C$9,0))="OFF",IF(E20&lt;&gt;"",E20,IF(ISNUMBER(SEARCH("S",V20)),"ON","OFF"))="OFF"),0,IF(N20&lt;&gt;"",N20,S20*Area_S))</f>
        <v>46200</v>
      </c>
      <c r="AH20" s="76">
        <f>IF(OR(INDEX(F$6:F$9,MATCH($B20,$C$6:$C$9,0))="OFF",IF(F20&lt;&gt;"",F20,IF(ISNUMBER(SEARCH("S",W20)),"ON","OFF"))="OFF"),0,IF(O20&lt;&gt;"",O20,T20*Area_D))</f>
        <v>26100</v>
      </c>
    </row>
    <row r="21">
      <c r="A21" s="3" t="inlineStr">
        <is>
          <t>BLD-06</t>
        </is>
      </c>
      <c r="B21" s="8" t="inlineStr">
        <is>
          <t>Build</t>
        </is>
      </c>
      <c r="C21" s="8" t="inlineStr">
        <is>
          <t>Lighting</t>
        </is>
      </c>
      <c r="D21" s="35" t="n"/>
      <c r="E21" s="35" t="n"/>
      <c r="F21" s="35" t="n"/>
      <c r="G21" s="75" t="str">
        <f>IF(INDEX(D$6:D$9,MATCH($B21,$C$6:$C$9,0))="OFF","OFF",IF(D21&lt;&gt;"",D21,IF(ISNUMBER(SEARCH(D$10,U21)),"ON","OFF")))</f>
        <v>ON</v>
      </c>
      <c r="H21" s="75" t="str">
        <f>IF(INDEX(E$6:E$9,MATCH($B21,$C$6:$C$9,0))="OFF","OFF",IF(E21&lt;&gt;"",E21,IF(ISNUMBER(SEARCH(E$10,V21)),"ON","OFF")))</f>
        <v>ON</v>
      </c>
      <c r="I21" s="75" t="str">
        <f>IF(INDEX(F$6:F$9,MATCH($B21,$C$6:$C$9,0))="OFF","OFF",IF(F21&lt;&gt;"",F21,IF(ISNUMBER(SEARCH(F$10,W21)),"ON","OFF")))</f>
        <v>ON</v>
      </c>
      <c r="J21" s="39">
        <f>IF(G21="OFF",0,IF(M21&lt;&gt;"",M21,R21*Area_SPLUS))</f>
        <v>51000</v>
      </c>
      <c r="K21" s="39">
        <f>IF(H21="OFF",0,IF(N21&lt;&gt;"",N21,S21*Area_S))</f>
        <v>23100</v>
      </c>
      <c r="L21" s="39">
        <f>IF(I21="OFF",0,IF(O21&lt;&gt;"",O21,T21*Area_D))</f>
        <v>12600</v>
      </c>
      <c r="M21" s="54" t="n"/>
      <c r="N21" s="54" t="n"/>
      <c r="O21" s="54" t="n"/>
      <c r="P21" s="38" t="inlineStr">
        <is>
          <t>per ft²</t>
        </is>
      </c>
      <c r="Q21" s="38" t="inlineStr">
        <is>
          <t>Price breaks</t>
        </is>
      </c>
      <c r="R21" s="54" t="n">
        <v>15</v>
      </c>
      <c r="S21" s="54" t="n">
        <v>14</v>
      </c>
      <c r="T21" s="54" t="n">
        <v>14</v>
      </c>
      <c r="U21" s="35" t="inlineStr">
        <is>
          <t>LBS</t>
        </is>
      </c>
      <c r="V21" s="35" t="inlineStr">
        <is>
          <t>LBS</t>
        </is>
      </c>
      <c r="W21" s="35" t="inlineStr">
        <is>
          <t>LBS</t>
        </is>
      </c>
      <c r="X21" s="38" t="inlineStr"/>
      <c r="Z21" s="76">
        <f>IF(OR(INDEX(D$6:D$9,MATCH($B21,$C$6:$C$9,0))="OFF",IF(D21&lt;&gt;"",D21,IF(ISNUMBER(SEARCH("L",U21)),"ON","OFF"))="OFF"),0,IF(M21&lt;&gt;"",M21,R21*Area_SPLUS))</f>
        <v>51000</v>
      </c>
      <c r="AA21" s="76">
        <f>IF(OR(INDEX(E$6:E$9,MATCH($B21,$C$6:$C$9,0))="OFF",IF(E21&lt;&gt;"",E21,IF(ISNUMBER(SEARCH("L",V21)),"ON","OFF"))="OFF"),0,IF(N21&lt;&gt;"",N21,S21*Area_S))</f>
        <v>23100</v>
      </c>
      <c r="AB21" s="76">
        <f>IF(OR(INDEX(F$6:F$9,MATCH($B21,$C$6:$C$9,0))="OFF",IF(F21&lt;&gt;"",F21,IF(ISNUMBER(SEARCH("L",W21)),"ON","OFF"))="OFF"),0,IF(O21&lt;&gt;"",O21,T21*Area_D))</f>
        <v>12600</v>
      </c>
      <c r="AC21" s="76">
        <f>IF(OR(INDEX(D$6:D$9,MATCH($B21,$C$6:$C$9,0))="OFF",IF(D21&lt;&gt;"",D21,IF(ISNUMBER(SEARCH("B",U21)),"ON","OFF"))="OFF"),0,IF(M21&lt;&gt;"",M21,R21*Area_SPLUS))</f>
        <v>51000</v>
      </c>
      <c r="AD21" s="76">
        <f>IF(OR(INDEX(E$6:E$9,MATCH($B21,$C$6:$C$9,0))="OFF",IF(E21&lt;&gt;"",E21,IF(ISNUMBER(SEARCH("B",V21)),"ON","OFF"))="OFF"),0,IF(N21&lt;&gt;"",N21,S21*Area_S))</f>
        <v>23100</v>
      </c>
      <c r="AE21" s="76">
        <f>IF(OR(INDEX(F$6:F$9,MATCH($B21,$C$6:$C$9,0))="OFF",IF(F21&lt;&gt;"",F21,IF(ISNUMBER(SEARCH("B",W21)),"ON","OFF"))="OFF"),0,IF(O21&lt;&gt;"",O21,T21*Area_D))</f>
        <v>12600</v>
      </c>
      <c r="AF21" s="76">
        <f>IF(OR(INDEX(D$6:D$9,MATCH($B21,$C$6:$C$9,0))="OFF",IF(D21&lt;&gt;"",D21,IF(ISNUMBER(SEARCH("S",U21)),"ON","OFF"))="OFF"),0,IF(M21&lt;&gt;"",M21,R21*Area_SPLUS))</f>
        <v>51000</v>
      </c>
      <c r="AG21" s="76">
        <f>IF(OR(INDEX(E$6:E$9,MATCH($B21,$C$6:$C$9,0))="OFF",IF(E21&lt;&gt;"",E21,IF(ISNUMBER(SEARCH("S",V21)),"ON","OFF"))="OFF"),0,IF(N21&lt;&gt;"",N21,S21*Area_S))</f>
        <v>23100</v>
      </c>
      <c r="AH21" s="76">
        <f>IF(OR(INDEX(F$6:F$9,MATCH($B21,$C$6:$C$9,0))="OFF",IF(F21&lt;&gt;"",F21,IF(ISNUMBER(SEARCH("S",W21)),"ON","OFF"))="OFF"),0,IF(O21&lt;&gt;"",O21,T21*Area_D))</f>
        <v>12600</v>
      </c>
    </row>
    <row r="22">
      <c r="A22" s="3" t="inlineStr">
        <is>
          <t>BLD-07</t>
        </is>
      </c>
      <c r="B22" s="8" t="inlineStr">
        <is>
          <t>Build</t>
        </is>
      </c>
      <c r="C22" s="8" t="inlineStr">
        <is>
          <t>Fixtures and display system</t>
        </is>
      </c>
      <c r="D22" s="35" t="n"/>
      <c r="E22" s="35" t="n"/>
      <c r="F22" s="35" t="n"/>
      <c r="G22" s="75" t="str">
        <f>IF(INDEX(D$6:D$9,MATCH($B22,$C$6:$C$9,0))="OFF","OFF",IF(D22&lt;&gt;"",D22,IF(ISNUMBER(SEARCH(D$10,U22)),"ON","OFF")))</f>
        <v>ON</v>
      </c>
      <c r="H22" s="75" t="str">
        <f>IF(INDEX(E$6:E$9,MATCH($B22,$C$6:$C$9,0))="OFF","OFF",IF(E22&lt;&gt;"",E22,IF(ISNUMBER(SEARCH(E$10,V22)),"ON","OFF")))</f>
        <v>ON</v>
      </c>
      <c r="I22" s="75" t="str">
        <f>IF(INDEX(F$6:F$9,MATCH($B22,$C$6:$C$9,0))="OFF","OFF",IF(F22&lt;&gt;"",F22,IF(ISNUMBER(SEARCH(F$10,W22)),"ON","OFF")))</f>
        <v>ON</v>
      </c>
      <c r="J22" s="39">
        <f>IF(G22="OFF",0,IF(M22&lt;&gt;"",M22,R22*Area_SPLUS))</f>
        <v>81600</v>
      </c>
      <c r="K22" s="39">
        <f>IF(H22="OFF",0,IF(N22&lt;&gt;"",N22,S22*Area_S))</f>
        <v>37950</v>
      </c>
      <c r="L22" s="39">
        <f>IF(I22="OFF",0,IF(O22&lt;&gt;"",O22,T22*Area_D))</f>
        <v>20700</v>
      </c>
      <c r="M22" s="54" t="n"/>
      <c r="N22" s="54" t="n"/>
      <c r="O22" s="54" t="n"/>
      <c r="P22" s="38" t="inlineStr">
        <is>
          <t>per ft²</t>
        </is>
      </c>
      <c r="Q22" s="38" t="inlineStr">
        <is>
          <t>Price breaks</t>
        </is>
      </c>
      <c r="R22" s="54" t="n">
        <v>24</v>
      </c>
      <c r="S22" s="54" t="n">
        <v>23</v>
      </c>
      <c r="T22" s="54" t="n">
        <v>23</v>
      </c>
      <c r="U22" s="35" t="inlineStr">
        <is>
          <t>LBS</t>
        </is>
      </c>
      <c r="V22" s="35" t="inlineStr">
        <is>
          <t>LBS</t>
        </is>
      </c>
      <c r="W22" s="35" t="inlineStr">
        <is>
          <t>LBS</t>
        </is>
      </c>
      <c r="X22" s="38" t="inlineStr">
        <is>
          <t>The standard fixture kit.</t>
        </is>
      </c>
      <c r="Z22" s="76">
        <f>IF(OR(INDEX(D$6:D$9,MATCH($B22,$C$6:$C$9,0))="OFF",IF(D22&lt;&gt;"",D22,IF(ISNUMBER(SEARCH("L",U22)),"ON","OFF"))="OFF"),0,IF(M22&lt;&gt;"",M22,R22*Area_SPLUS))</f>
        <v>81600</v>
      </c>
      <c r="AA22" s="76">
        <f>IF(OR(INDEX(E$6:E$9,MATCH($B22,$C$6:$C$9,0))="OFF",IF(E22&lt;&gt;"",E22,IF(ISNUMBER(SEARCH("L",V22)),"ON","OFF"))="OFF"),0,IF(N22&lt;&gt;"",N22,S22*Area_S))</f>
        <v>37950</v>
      </c>
      <c r="AB22" s="76">
        <f>IF(OR(INDEX(F$6:F$9,MATCH($B22,$C$6:$C$9,0))="OFF",IF(F22&lt;&gt;"",F22,IF(ISNUMBER(SEARCH("L",W22)),"ON","OFF"))="OFF"),0,IF(O22&lt;&gt;"",O22,T22*Area_D))</f>
        <v>20700</v>
      </c>
      <c r="AC22" s="76">
        <f>IF(OR(INDEX(D$6:D$9,MATCH($B22,$C$6:$C$9,0))="OFF",IF(D22&lt;&gt;"",D22,IF(ISNUMBER(SEARCH("B",U22)),"ON","OFF"))="OFF"),0,IF(M22&lt;&gt;"",M22,R22*Area_SPLUS))</f>
        <v>81600</v>
      </c>
      <c r="AD22" s="76">
        <f>IF(OR(INDEX(E$6:E$9,MATCH($B22,$C$6:$C$9,0))="OFF",IF(E22&lt;&gt;"",E22,IF(ISNUMBER(SEARCH("B",V22)),"ON","OFF"))="OFF"),0,IF(N22&lt;&gt;"",N22,S22*Area_S))</f>
        <v>37950</v>
      </c>
      <c r="AE22" s="76">
        <f>IF(OR(INDEX(F$6:F$9,MATCH($B22,$C$6:$C$9,0))="OFF",IF(F22&lt;&gt;"",F22,IF(ISNUMBER(SEARCH("B",W22)),"ON","OFF"))="OFF"),0,IF(O22&lt;&gt;"",O22,T22*Area_D))</f>
        <v>20700</v>
      </c>
      <c r="AF22" s="76">
        <f>IF(OR(INDEX(D$6:D$9,MATCH($B22,$C$6:$C$9,0))="OFF",IF(D22&lt;&gt;"",D22,IF(ISNUMBER(SEARCH("S",U22)),"ON","OFF"))="OFF"),0,IF(M22&lt;&gt;"",M22,R22*Area_SPLUS))</f>
        <v>81600</v>
      </c>
      <c r="AG22" s="76">
        <f>IF(OR(INDEX(E$6:E$9,MATCH($B22,$C$6:$C$9,0))="OFF",IF(E22&lt;&gt;"",E22,IF(ISNUMBER(SEARCH("S",V22)),"ON","OFF"))="OFF"),0,IF(N22&lt;&gt;"",N22,S22*Area_S))</f>
        <v>37950</v>
      </c>
      <c r="AH22" s="76">
        <f>IF(OR(INDEX(F$6:F$9,MATCH($B22,$C$6:$C$9,0))="OFF",IF(F22&lt;&gt;"",F22,IF(ISNUMBER(SEARCH("S",W22)),"ON","OFF"))="OFF"),0,IF(O22&lt;&gt;"",O22,T22*Area_D))</f>
        <v>20700</v>
      </c>
    </row>
    <row r="23">
      <c r="A23" s="3" t="inlineStr">
        <is>
          <t>BLD-08</t>
        </is>
      </c>
      <c r="B23" s="8" t="inlineStr">
        <is>
          <t>Build</t>
        </is>
      </c>
      <c r="C23" s="8" t="inlineStr">
        <is>
          <t>Bespoke fixture upgrade</t>
        </is>
      </c>
      <c r="D23" s="35" t="n"/>
      <c r="E23" s="35" t="n"/>
      <c r="F23" s="35" t="n"/>
      <c r="G23" s="75" t="str">
        <f>IF(INDEX(D$6:D$9,MATCH($B23,$C$6:$C$9,0))="OFF","OFF",IF(D23&lt;&gt;"",D23,IF(ISNUMBER(SEARCH(D$10,U23)),"ON","OFF")))</f>
        <v>ON</v>
      </c>
      <c r="H23" s="75" t="str">
        <f>IF(INDEX(E$6:E$9,MATCH($B23,$C$6:$C$9,0))="OFF","OFF",IF(E23&lt;&gt;"",E23,IF(ISNUMBER(SEARCH(E$10,V23)),"ON","OFF")))</f>
        <v>ON</v>
      </c>
      <c r="I23" s="75" t="str">
        <f>IF(INDEX(F$6:F$9,MATCH($B23,$C$6:$C$9,0))="OFF","OFF",IF(F23&lt;&gt;"",F23,IF(ISNUMBER(SEARCH(F$10,W23)),"ON","OFF")))</f>
        <v>ON</v>
      </c>
      <c r="J23" s="39">
        <f>IF(G23="OFF",0,IF(M23&lt;&gt;"",M23,R23*Area_SPLUS))</f>
        <v>27200</v>
      </c>
      <c r="K23" s="39">
        <f>IF(H23="OFF",0,IF(N23&lt;&gt;"",N23,S23*Area_S))</f>
        <v>13200</v>
      </c>
      <c r="L23" s="39">
        <f>IF(I23="OFF",0,IF(O23&lt;&gt;"",O23,T23*Area_D))</f>
        <v>6300</v>
      </c>
      <c r="M23" s="54" t="n"/>
      <c r="N23" s="54" t="n"/>
      <c r="O23" s="54" t="n"/>
      <c r="P23" s="38" t="inlineStr">
        <is>
          <t>per ft²</t>
        </is>
      </c>
      <c r="Q23" s="38" t="inlineStr">
        <is>
          <t>Price breaks</t>
        </is>
      </c>
      <c r="R23" s="54" t="n">
        <v>8</v>
      </c>
      <c r="S23" s="54" t="n">
        <v>8</v>
      </c>
      <c r="T23" s="54" t="n">
        <v>7</v>
      </c>
      <c r="U23" s="35" t="inlineStr">
        <is>
          <t>BS</t>
        </is>
      </c>
      <c r="V23" s="35" t="inlineStr">
        <is>
          <t>BS</t>
        </is>
      </c>
      <c r="W23" s="35" t="inlineStr">
        <is>
          <t>BS</t>
        </is>
      </c>
      <c r="X23" s="38" t="inlineStr">
        <is>
          <t>Custom-made fixtures on top of the standard kit.</t>
        </is>
      </c>
      <c r="Z23" s="76">
        <f>IF(OR(INDEX(D$6:D$9,MATCH($B23,$C$6:$C$9,0))="OFF",IF(D23&lt;&gt;"",D23,IF(ISNUMBER(SEARCH("L",U23)),"ON","OFF"))="OFF"),0,IF(M23&lt;&gt;"",M23,R23*Area_SPLUS))</f>
        <v>0</v>
      </c>
      <c r="AA23" s="76">
        <f>IF(OR(INDEX(E$6:E$9,MATCH($B23,$C$6:$C$9,0))="OFF",IF(E23&lt;&gt;"",E23,IF(ISNUMBER(SEARCH("L",V23)),"ON","OFF"))="OFF"),0,IF(N23&lt;&gt;"",N23,S23*Area_S))</f>
        <v>0</v>
      </c>
      <c r="AB23" s="76">
        <f>IF(OR(INDEX(F$6:F$9,MATCH($B23,$C$6:$C$9,0))="OFF",IF(F23&lt;&gt;"",F23,IF(ISNUMBER(SEARCH("L",W23)),"ON","OFF"))="OFF"),0,IF(O23&lt;&gt;"",O23,T23*Area_D))</f>
        <v>0</v>
      </c>
      <c r="AC23" s="76">
        <f>IF(OR(INDEX(D$6:D$9,MATCH($B23,$C$6:$C$9,0))="OFF",IF(D23&lt;&gt;"",D23,IF(ISNUMBER(SEARCH("B",U23)),"ON","OFF"))="OFF"),0,IF(M23&lt;&gt;"",M23,R23*Area_SPLUS))</f>
        <v>27200</v>
      </c>
      <c r="AD23" s="76">
        <f>IF(OR(INDEX(E$6:E$9,MATCH($B23,$C$6:$C$9,0))="OFF",IF(E23&lt;&gt;"",E23,IF(ISNUMBER(SEARCH("B",V23)),"ON","OFF"))="OFF"),0,IF(N23&lt;&gt;"",N23,S23*Area_S))</f>
        <v>13200</v>
      </c>
      <c r="AE23" s="76">
        <f>IF(OR(INDEX(F$6:F$9,MATCH($B23,$C$6:$C$9,0))="OFF",IF(F23&lt;&gt;"",F23,IF(ISNUMBER(SEARCH("B",W23)),"ON","OFF"))="OFF"),0,IF(O23&lt;&gt;"",O23,T23*Area_D))</f>
        <v>6300</v>
      </c>
      <c r="AF23" s="76">
        <f>IF(OR(INDEX(D$6:D$9,MATCH($B23,$C$6:$C$9,0))="OFF",IF(D23&lt;&gt;"",D23,IF(ISNUMBER(SEARCH("S",U23)),"ON","OFF"))="OFF"),0,IF(M23&lt;&gt;"",M23,R23*Area_SPLUS))</f>
        <v>27200</v>
      </c>
      <c r="AG23" s="76">
        <f>IF(OR(INDEX(E$6:E$9,MATCH($B23,$C$6:$C$9,0))="OFF",IF(E23&lt;&gt;"",E23,IF(ISNUMBER(SEARCH("S",V23)),"ON","OFF"))="OFF"),0,IF(N23&lt;&gt;"",N23,S23*Area_S))</f>
        <v>13200</v>
      </c>
      <c r="AH23" s="76">
        <f>IF(OR(INDEX(F$6:F$9,MATCH($B23,$C$6:$C$9,0))="OFF",IF(F23&lt;&gt;"",F23,IF(ISNUMBER(SEARCH("S",W23)),"ON","OFF"))="OFF"),0,IF(O23&lt;&gt;"",O23,T23*Area_D))</f>
        <v>6300</v>
      </c>
    </row>
    <row r="24">
      <c r="A24" s="3" t="inlineStr">
        <is>
          <t>BLD-09</t>
        </is>
      </c>
      <c r="B24" s="8" t="inlineStr">
        <is>
          <t>Build</t>
        </is>
      </c>
      <c r="C24" s="8" t="inlineStr">
        <is>
          <t>Premium finishes (stone, timber, metalwork)</t>
        </is>
      </c>
      <c r="D24" s="35" t="n"/>
      <c r="E24" s="35" t="n"/>
      <c r="F24" s="35" t="n"/>
      <c r="G24" s="75" t="str">
        <f>IF(INDEX(D$6:D$9,MATCH($B24,$C$6:$C$9,0))="OFF","OFF",IF(D24&lt;&gt;"",D24,IF(ISNUMBER(SEARCH(D$10,U24)),"ON","OFF")))</f>
        <v>OFF</v>
      </c>
      <c r="H24" s="75" t="str">
        <f>IF(INDEX(E$6:E$9,MATCH($B24,$C$6:$C$9,0))="OFF","OFF",IF(E24&lt;&gt;"",E24,IF(ISNUMBER(SEARCH(E$10,V24)),"ON","OFF")))</f>
        <v>OFF</v>
      </c>
      <c r="I24" s="75" t="str">
        <f>IF(INDEX(F$6:F$9,MATCH($B24,$C$6:$C$9,0))="OFF","OFF",IF(F24&lt;&gt;"",F24,IF(ISNUMBER(SEARCH(F$10,W24)),"ON","OFF")))</f>
        <v>OFF</v>
      </c>
      <c r="J24" s="39">
        <f>IF(G24="OFF",0,IF(M24&lt;&gt;"",M24,R24*Area_SPLUS))</f>
        <v>0</v>
      </c>
      <c r="K24" s="39">
        <f>IF(H24="OFF",0,IF(N24&lt;&gt;"",N24,S24*Area_S))</f>
        <v>0</v>
      </c>
      <c r="L24" s="39">
        <f>IF(I24="OFF",0,IF(O24&lt;&gt;"",O24,T24*Area_D))</f>
        <v>0</v>
      </c>
      <c r="M24" s="54" t="n"/>
      <c r="N24" s="54" t="n"/>
      <c r="O24" s="54" t="n"/>
      <c r="P24" s="38" t="inlineStr">
        <is>
          <t>per ft²</t>
        </is>
      </c>
      <c r="Q24" s="38" t="inlineStr">
        <is>
          <t>Price breaks</t>
        </is>
      </c>
      <c r="R24" s="54" t="n">
        <v>18</v>
      </c>
      <c r="S24" s="54" t="n">
        <v>16</v>
      </c>
      <c r="T24" s="54" t="n">
        <v>15</v>
      </c>
      <c r="U24" s="35" t="inlineStr">
        <is>
          <t>S</t>
        </is>
      </c>
      <c r="V24" s="35" t="inlineStr">
        <is>
          <t>S</t>
        </is>
      </c>
      <c r="W24" s="35" t="inlineStr">
        <is>
          <t>S</t>
        </is>
      </c>
      <c r="X24" s="38" t="inlineStr">
        <is>
          <t>Showcase only.</t>
        </is>
      </c>
      <c r="Z24" s="76">
        <f>IF(OR(INDEX(D$6:D$9,MATCH($B24,$C$6:$C$9,0))="OFF",IF(D24&lt;&gt;"",D24,IF(ISNUMBER(SEARCH("L",U24)),"ON","OFF"))="OFF"),0,IF(M24&lt;&gt;"",M24,R24*Area_SPLUS))</f>
        <v>0</v>
      </c>
      <c r="AA24" s="76">
        <f>IF(OR(INDEX(E$6:E$9,MATCH($B24,$C$6:$C$9,0))="OFF",IF(E24&lt;&gt;"",E24,IF(ISNUMBER(SEARCH("L",V24)),"ON","OFF"))="OFF"),0,IF(N24&lt;&gt;"",N24,S24*Area_S))</f>
        <v>0</v>
      </c>
      <c r="AB24" s="76">
        <f>IF(OR(INDEX(F$6:F$9,MATCH($B24,$C$6:$C$9,0))="OFF",IF(F24&lt;&gt;"",F24,IF(ISNUMBER(SEARCH("L",W24)),"ON","OFF"))="OFF"),0,IF(O24&lt;&gt;"",O24,T24*Area_D))</f>
        <v>0</v>
      </c>
      <c r="AC24" s="76">
        <f>IF(OR(INDEX(D$6:D$9,MATCH($B24,$C$6:$C$9,0))="OFF",IF(D24&lt;&gt;"",D24,IF(ISNUMBER(SEARCH("B",U24)),"ON","OFF"))="OFF"),0,IF(M24&lt;&gt;"",M24,R24*Area_SPLUS))</f>
        <v>0</v>
      </c>
      <c r="AD24" s="76">
        <f>IF(OR(INDEX(E$6:E$9,MATCH($B24,$C$6:$C$9,0))="OFF",IF(E24&lt;&gt;"",E24,IF(ISNUMBER(SEARCH("B",V24)),"ON","OFF"))="OFF"),0,IF(N24&lt;&gt;"",N24,S24*Area_S))</f>
        <v>0</v>
      </c>
      <c r="AE24" s="76">
        <f>IF(OR(INDEX(F$6:F$9,MATCH($B24,$C$6:$C$9,0))="OFF",IF(F24&lt;&gt;"",F24,IF(ISNUMBER(SEARCH("B",W24)),"ON","OFF"))="OFF"),0,IF(O24&lt;&gt;"",O24,T24*Area_D))</f>
        <v>0</v>
      </c>
      <c r="AF24" s="76">
        <f>IF(OR(INDEX(D$6:D$9,MATCH($B24,$C$6:$C$9,0))="OFF",IF(D24&lt;&gt;"",D24,IF(ISNUMBER(SEARCH("S",U24)),"ON","OFF"))="OFF"),0,IF(M24&lt;&gt;"",M24,R24*Area_SPLUS))</f>
        <v>61200</v>
      </c>
      <c r="AG24" s="76">
        <f>IF(OR(INDEX(E$6:E$9,MATCH($B24,$C$6:$C$9,0))="OFF",IF(E24&lt;&gt;"",E24,IF(ISNUMBER(SEARCH("S",V24)),"ON","OFF"))="OFF"),0,IF(N24&lt;&gt;"",N24,S24*Area_S))</f>
        <v>26400</v>
      </c>
      <c r="AH24" s="76">
        <f>IF(OR(INDEX(F$6:F$9,MATCH($B24,$C$6:$C$9,0))="OFF",IF(F24&lt;&gt;"",F24,IF(ISNUMBER(SEARCH("S",W24)),"ON","OFF"))="OFF"),0,IF(O24&lt;&gt;"",O24,T24*Area_D))</f>
        <v>13500</v>
      </c>
    </row>
    <row r="25">
      <c r="A25" s="3" t="inlineStr">
        <is>
          <t>BLD-10</t>
        </is>
      </c>
      <c r="B25" s="8" t="inlineStr">
        <is>
          <t>Build</t>
        </is>
      </c>
      <c r="C25" s="8" t="inlineStr">
        <is>
          <t>Fitting rooms and back of house</t>
        </is>
      </c>
      <c r="D25" s="35" t="n"/>
      <c r="E25" s="35" t="n"/>
      <c r="F25" s="35" t="n"/>
      <c r="G25" s="75" t="str">
        <f>IF(INDEX(D$6:D$9,MATCH($B25,$C$6:$C$9,0))="OFF","OFF",IF(D25&lt;&gt;"",D25,IF(ISNUMBER(SEARCH(D$10,U25)),"ON","OFF")))</f>
        <v>ON</v>
      </c>
      <c r="H25" s="75" t="str">
        <f>IF(INDEX(E$6:E$9,MATCH($B25,$C$6:$C$9,0))="OFF","OFF",IF(E25&lt;&gt;"",E25,IF(ISNUMBER(SEARCH(E$10,V25)),"ON","OFF")))</f>
        <v>ON</v>
      </c>
      <c r="I25" s="75" t="str">
        <f>IF(INDEX(F$6:F$9,MATCH($B25,$C$6:$C$9,0))="OFF","OFF",IF(F25&lt;&gt;"",F25,IF(ISNUMBER(SEARCH(F$10,W25)),"ON","OFF")))</f>
        <v>ON</v>
      </c>
      <c r="J25" s="39">
        <f>IF(G25="OFF",0,IF(M25&lt;&gt;"",M25,R25))</f>
        <v>46000</v>
      </c>
      <c r="K25" s="39">
        <f>IF(H25="OFF",0,IF(N25&lt;&gt;"",N25,S25))</f>
        <v>33000</v>
      </c>
      <c r="L25" s="39">
        <f>IF(I25="OFF",0,IF(O25&lt;&gt;"",O25,T25))</f>
        <v>18000</v>
      </c>
      <c r="M25" s="54" t="n"/>
      <c r="N25" s="54" t="n"/>
      <c r="O25" s="54" t="n"/>
      <c r="P25" s="38" t="inlineStr">
        <is>
          <t>per store</t>
        </is>
      </c>
      <c r="Q25" s="38" t="inlineStr">
        <is>
          <t>Learning</t>
        </is>
      </c>
      <c r="R25" s="54" t="n">
        <v>46000</v>
      </c>
      <c r="S25" s="54" t="n">
        <v>33000</v>
      </c>
      <c r="T25" s="54" t="n">
        <v>18000</v>
      </c>
      <c r="U25" s="35" t="inlineStr">
        <is>
          <t>LBS</t>
        </is>
      </c>
      <c r="V25" s="35" t="inlineStr">
        <is>
          <t>LBS</t>
        </is>
      </c>
      <c r="W25" s="35" t="inlineStr">
        <is>
          <t>LBS</t>
        </is>
      </c>
      <c r="X25" s="38" t="inlineStr"/>
      <c r="Z25" s="76">
        <f>IF(OR(INDEX(D$6:D$9,MATCH($B25,$C$6:$C$9,0))="OFF",IF(D25&lt;&gt;"",D25,IF(ISNUMBER(SEARCH("L",U25)),"ON","OFF"))="OFF"),0,IF(M25&lt;&gt;"",M25,R25))</f>
        <v>46000</v>
      </c>
      <c r="AA25" s="76">
        <f>IF(OR(INDEX(E$6:E$9,MATCH($B25,$C$6:$C$9,0))="OFF",IF(E25&lt;&gt;"",E25,IF(ISNUMBER(SEARCH("L",V25)),"ON","OFF"))="OFF"),0,IF(N25&lt;&gt;"",N25,S25))</f>
        <v>33000</v>
      </c>
      <c r="AB25" s="76">
        <f>IF(OR(INDEX(F$6:F$9,MATCH($B25,$C$6:$C$9,0))="OFF",IF(F25&lt;&gt;"",F25,IF(ISNUMBER(SEARCH("L",W25)),"ON","OFF"))="OFF"),0,IF(O25&lt;&gt;"",O25,T25))</f>
        <v>18000</v>
      </c>
      <c r="AC25" s="76">
        <f>IF(OR(INDEX(D$6:D$9,MATCH($B25,$C$6:$C$9,0))="OFF",IF(D25&lt;&gt;"",D25,IF(ISNUMBER(SEARCH("B",U25)),"ON","OFF"))="OFF"),0,IF(M25&lt;&gt;"",M25,R25))</f>
        <v>46000</v>
      </c>
      <c r="AD25" s="76">
        <f>IF(OR(INDEX(E$6:E$9,MATCH($B25,$C$6:$C$9,0))="OFF",IF(E25&lt;&gt;"",E25,IF(ISNUMBER(SEARCH("B",V25)),"ON","OFF"))="OFF"),0,IF(N25&lt;&gt;"",N25,S25))</f>
        <v>33000</v>
      </c>
      <c r="AE25" s="76">
        <f>IF(OR(INDEX(F$6:F$9,MATCH($B25,$C$6:$C$9,0))="OFF",IF(F25&lt;&gt;"",F25,IF(ISNUMBER(SEARCH("B",W25)),"ON","OFF"))="OFF"),0,IF(O25&lt;&gt;"",O25,T25))</f>
        <v>18000</v>
      </c>
      <c r="AF25" s="76">
        <f>IF(OR(INDEX(D$6:D$9,MATCH($B25,$C$6:$C$9,0))="OFF",IF(D25&lt;&gt;"",D25,IF(ISNUMBER(SEARCH("S",U25)),"ON","OFF"))="OFF"),0,IF(M25&lt;&gt;"",M25,R25))</f>
        <v>46000</v>
      </c>
      <c r="AG25" s="76">
        <f>IF(OR(INDEX(E$6:E$9,MATCH($B25,$C$6:$C$9,0))="OFF",IF(E25&lt;&gt;"",E25,IF(ISNUMBER(SEARCH("S",V25)),"ON","OFF"))="OFF"),0,IF(N25&lt;&gt;"",N25,S25))</f>
        <v>33000</v>
      </c>
      <c r="AH25" s="76">
        <f>IF(OR(INDEX(F$6:F$9,MATCH($B25,$C$6:$C$9,0))="OFF",IF(F25&lt;&gt;"",F25,IF(ISNUMBER(SEARCH("S",W25)),"ON","OFF"))="OFF"),0,IF(O25&lt;&gt;"",O25,T25))</f>
        <v>18000</v>
      </c>
    </row>
    <row r="26">
      <c r="A26" s="3" t="inlineStr">
        <is>
          <t>BLD-11</t>
        </is>
      </c>
      <c r="B26" s="8" t="inlineStr">
        <is>
          <t>Build</t>
        </is>
      </c>
      <c r="C26" s="8" t="inlineStr">
        <is>
          <t>Storefront and exterior signage</t>
        </is>
      </c>
      <c r="D26" s="35" t="n"/>
      <c r="E26" s="35" t="n"/>
      <c r="F26" s="35" t="n"/>
      <c r="G26" s="75" t="str">
        <f>IF(INDEX(D$6:D$9,MATCH($B26,$C$6:$C$9,0))="OFF","OFF",IF(D26&lt;&gt;"",D26,IF(ISNUMBER(SEARCH(D$10,U26)),"ON","OFF")))</f>
        <v>ON</v>
      </c>
      <c r="H26" s="75" t="str">
        <f>IF(INDEX(E$6:E$9,MATCH($B26,$C$6:$C$9,0))="OFF","OFF",IF(E26&lt;&gt;"",E26,IF(ISNUMBER(SEARCH(E$10,V26)),"ON","OFF")))</f>
        <v>ON</v>
      </c>
      <c r="I26" s="75" t="str">
        <f>IF(INDEX(F$6:F$9,MATCH($B26,$C$6:$C$9,0))="OFF","OFF",IF(F26&lt;&gt;"",F26,IF(ISNUMBER(SEARCH(F$10,W26)),"ON","OFF")))</f>
        <v>ON</v>
      </c>
      <c r="J26" s="39">
        <f>IF(G26="OFF",0,IF(M26&lt;&gt;"",M26,R26))</f>
        <v>60000</v>
      </c>
      <c r="K26" s="39">
        <f>IF(H26="OFF",0,IF(N26&lt;&gt;"",N26,S26))</f>
        <v>46000</v>
      </c>
      <c r="L26" s="39">
        <f>IF(I26="OFF",0,IF(O26&lt;&gt;"",O26,T26))</f>
        <v>36000</v>
      </c>
      <c r="M26" s="54" t="n"/>
      <c r="N26" s="54" t="n"/>
      <c r="O26" s="54" t="n"/>
      <c r="P26" s="38" t="inlineStr">
        <is>
          <t>per store</t>
        </is>
      </c>
      <c r="Q26" s="38" t="inlineStr">
        <is>
          <t>No scale effect</t>
        </is>
      </c>
      <c r="R26" s="54" t="n">
        <v>60000</v>
      </c>
      <c r="S26" s="54" t="n">
        <v>46000</v>
      </c>
      <c r="T26" s="54" t="n">
        <v>36000</v>
      </c>
      <c r="U26" s="35" t="inlineStr">
        <is>
          <t>LBS</t>
        </is>
      </c>
      <c r="V26" s="35" t="inlineStr">
        <is>
          <t>LBS</t>
        </is>
      </c>
      <c r="W26" s="35" t="inlineStr">
        <is>
          <t>LBS</t>
        </is>
      </c>
      <c r="X26" s="38" t="inlineStr">
        <is>
          <t>Every storefront is different: no scale effect.</t>
        </is>
      </c>
      <c r="Z26" s="76">
        <f>IF(OR(INDEX(D$6:D$9,MATCH($B26,$C$6:$C$9,0))="OFF",IF(D26&lt;&gt;"",D26,IF(ISNUMBER(SEARCH("L",U26)),"ON","OFF"))="OFF"),0,IF(M26&lt;&gt;"",M26,R26))</f>
        <v>60000</v>
      </c>
      <c r="AA26" s="76">
        <f>IF(OR(INDEX(E$6:E$9,MATCH($B26,$C$6:$C$9,0))="OFF",IF(E26&lt;&gt;"",E26,IF(ISNUMBER(SEARCH("L",V26)),"ON","OFF"))="OFF"),0,IF(N26&lt;&gt;"",N26,S26))</f>
        <v>46000</v>
      </c>
      <c r="AB26" s="76">
        <f>IF(OR(INDEX(F$6:F$9,MATCH($B26,$C$6:$C$9,0))="OFF",IF(F26&lt;&gt;"",F26,IF(ISNUMBER(SEARCH("L",W26)),"ON","OFF"))="OFF"),0,IF(O26&lt;&gt;"",O26,T26))</f>
        <v>36000</v>
      </c>
      <c r="AC26" s="76">
        <f>IF(OR(INDEX(D$6:D$9,MATCH($B26,$C$6:$C$9,0))="OFF",IF(D26&lt;&gt;"",D26,IF(ISNUMBER(SEARCH("B",U26)),"ON","OFF"))="OFF"),0,IF(M26&lt;&gt;"",M26,R26))</f>
        <v>60000</v>
      </c>
      <c r="AD26" s="76">
        <f>IF(OR(INDEX(E$6:E$9,MATCH($B26,$C$6:$C$9,0))="OFF",IF(E26&lt;&gt;"",E26,IF(ISNUMBER(SEARCH("B",V26)),"ON","OFF"))="OFF"),0,IF(N26&lt;&gt;"",N26,S26))</f>
        <v>46000</v>
      </c>
      <c r="AE26" s="76">
        <f>IF(OR(INDEX(F$6:F$9,MATCH($B26,$C$6:$C$9,0))="OFF",IF(F26&lt;&gt;"",F26,IF(ISNUMBER(SEARCH("B",W26)),"ON","OFF"))="OFF"),0,IF(O26&lt;&gt;"",O26,T26))</f>
        <v>36000</v>
      </c>
      <c r="AF26" s="76">
        <f>IF(OR(INDEX(D$6:D$9,MATCH($B26,$C$6:$C$9,0))="OFF",IF(D26&lt;&gt;"",D26,IF(ISNUMBER(SEARCH("S",U26)),"ON","OFF"))="OFF"),0,IF(M26&lt;&gt;"",M26,R26))</f>
        <v>60000</v>
      </c>
      <c r="AG26" s="76">
        <f>IF(OR(INDEX(E$6:E$9,MATCH($B26,$C$6:$C$9,0))="OFF",IF(E26&lt;&gt;"",E26,IF(ISNUMBER(SEARCH("S",V26)),"ON","OFF"))="OFF"),0,IF(N26&lt;&gt;"",N26,S26))</f>
        <v>46000</v>
      </c>
      <c r="AH26" s="76">
        <f>IF(OR(INDEX(F$6:F$9,MATCH($B26,$C$6:$C$9,0))="OFF",IF(F26&lt;&gt;"",F26,IF(ISNUMBER(SEARCH("S",W26)),"ON","OFF"))="OFF"),0,IF(O26&lt;&gt;"",O26,T26))</f>
        <v>36000</v>
      </c>
    </row>
    <row r="27">
      <c r="A27" s="3" t="inlineStr">
        <is>
          <t>TEC-01</t>
        </is>
      </c>
      <c r="B27" s="8" t="inlineStr">
        <is>
          <t>Tech</t>
        </is>
      </c>
      <c r="C27" s="8" t="inlineStr">
        <is>
          <t>Feature LED wall</t>
        </is>
      </c>
      <c r="D27" s="35" t="n"/>
      <c r="E27" s="35" t="n"/>
      <c r="F27" s="35" t="n"/>
      <c r="G27" s="75" t="str">
        <f>IF(INDEX(D$6:D$9,MATCH($B27,$C$6:$C$9,0))="OFF","OFF",IF(D27&lt;&gt;"",D27,IF(ISNUMBER(SEARCH(D$10,U27)),"ON","OFF")))</f>
        <v>ON</v>
      </c>
      <c r="H27" s="75" t="str">
        <f>IF(INDEX(E$6:E$9,MATCH($B27,$C$6:$C$9,0))="OFF","OFF",IF(E27&lt;&gt;"",E27,IF(ISNUMBER(SEARCH(E$10,V27)),"ON","OFF")))</f>
        <v>ON</v>
      </c>
      <c r="I27" s="75" t="str">
        <f>IF(INDEX(F$6:F$9,MATCH($B27,$C$6:$C$9,0))="OFF","OFF",IF(F27&lt;&gt;"",F27,IF(ISNUMBER(SEARCH(F$10,W27)),"ON","OFF")))</f>
        <v>ON</v>
      </c>
      <c r="J27" s="39">
        <f>IF(G27="OFF",0,IF(M27&lt;&gt;"",M27,R27))</f>
        <v>170000</v>
      </c>
      <c r="K27" s="39">
        <f>IF(H27="OFF",0,IF(N27&lt;&gt;"",N27,S27))</f>
        <v>104000</v>
      </c>
      <c r="L27" s="39">
        <f>IF(I27="OFF",0,IF(O27&lt;&gt;"",O27,T27))</f>
        <v>58000</v>
      </c>
      <c r="M27" s="54" t="n"/>
      <c r="N27" s="54" t="n"/>
      <c r="O27" s="54" t="n"/>
      <c r="P27" s="38" t="inlineStr">
        <is>
          <t>per store</t>
        </is>
      </c>
      <c r="Q27" s="38" t="inlineStr">
        <is>
          <t>Price breaks</t>
        </is>
      </c>
      <c r="R27" s="54" t="n">
        <v>170000</v>
      </c>
      <c r="S27" s="54" t="n">
        <v>104000</v>
      </c>
      <c r="T27" s="54" t="n">
        <v>58000</v>
      </c>
      <c r="U27" s="35" t="inlineStr">
        <is>
          <t>BS</t>
        </is>
      </c>
      <c r="V27" s="35" t="inlineStr">
        <is>
          <t>BS</t>
        </is>
      </c>
      <c r="W27" s="35" t="inlineStr">
        <is>
          <t>BS</t>
        </is>
      </c>
      <c r="X27" s="38" t="inlineStr">
        <is>
          <t>The centrepiece screen.</t>
        </is>
      </c>
      <c r="Z27" s="76">
        <f>IF(OR(INDEX(D$6:D$9,MATCH($B27,$C$6:$C$9,0))="OFF",IF(D27&lt;&gt;"",D27,IF(ISNUMBER(SEARCH("L",U27)),"ON","OFF"))="OFF"),0,IF(M27&lt;&gt;"",M27,R27))</f>
        <v>0</v>
      </c>
      <c r="AA27" s="76">
        <f>IF(OR(INDEX(E$6:E$9,MATCH($B27,$C$6:$C$9,0))="OFF",IF(E27&lt;&gt;"",E27,IF(ISNUMBER(SEARCH("L",V27)),"ON","OFF"))="OFF"),0,IF(N27&lt;&gt;"",N27,S27))</f>
        <v>0</v>
      </c>
      <c r="AB27" s="76">
        <f>IF(OR(INDEX(F$6:F$9,MATCH($B27,$C$6:$C$9,0))="OFF",IF(F27&lt;&gt;"",F27,IF(ISNUMBER(SEARCH("L",W27)),"ON","OFF"))="OFF"),0,IF(O27&lt;&gt;"",O27,T27))</f>
        <v>0</v>
      </c>
      <c r="AC27" s="76">
        <f>IF(OR(INDEX(D$6:D$9,MATCH($B27,$C$6:$C$9,0))="OFF",IF(D27&lt;&gt;"",D27,IF(ISNUMBER(SEARCH("B",U27)),"ON","OFF"))="OFF"),0,IF(M27&lt;&gt;"",M27,R27))</f>
        <v>170000</v>
      </c>
      <c r="AD27" s="76">
        <f>IF(OR(INDEX(E$6:E$9,MATCH($B27,$C$6:$C$9,0))="OFF",IF(E27&lt;&gt;"",E27,IF(ISNUMBER(SEARCH("B",V27)),"ON","OFF"))="OFF"),0,IF(N27&lt;&gt;"",N27,S27))</f>
        <v>104000</v>
      </c>
      <c r="AE27" s="76">
        <f>IF(OR(INDEX(F$6:F$9,MATCH($B27,$C$6:$C$9,0))="OFF",IF(F27&lt;&gt;"",F27,IF(ISNUMBER(SEARCH("B",W27)),"ON","OFF"))="OFF"),0,IF(O27&lt;&gt;"",O27,T27))</f>
        <v>58000</v>
      </c>
      <c r="AF27" s="76">
        <f>IF(OR(INDEX(D$6:D$9,MATCH($B27,$C$6:$C$9,0))="OFF",IF(D27&lt;&gt;"",D27,IF(ISNUMBER(SEARCH("S",U27)),"ON","OFF"))="OFF"),0,IF(M27&lt;&gt;"",M27,R27))</f>
        <v>170000</v>
      </c>
      <c r="AG27" s="76">
        <f>IF(OR(INDEX(E$6:E$9,MATCH($B27,$C$6:$C$9,0))="OFF",IF(E27&lt;&gt;"",E27,IF(ISNUMBER(SEARCH("S",V27)),"ON","OFF"))="OFF"),0,IF(N27&lt;&gt;"",N27,S27))</f>
        <v>104000</v>
      </c>
      <c r="AH27" s="76">
        <f>IF(OR(INDEX(F$6:F$9,MATCH($B27,$C$6:$C$9,0))="OFF",IF(F27&lt;&gt;"",F27,IF(ISNUMBER(SEARCH("S",W27)),"ON","OFF"))="OFF"),0,IF(O27&lt;&gt;"",O27,T27))</f>
        <v>58000</v>
      </c>
    </row>
    <row r="28">
      <c r="A28" s="3" t="inlineStr">
        <is>
          <t>TEC-02</t>
        </is>
      </c>
      <c r="B28" s="8" t="inlineStr">
        <is>
          <t>Tech</t>
        </is>
      </c>
      <c r="C28" s="8" t="inlineStr">
        <is>
          <t>Projection package (lower-cost screen)</t>
        </is>
      </c>
      <c r="D28" s="35" t="n"/>
      <c r="E28" s="35" t="n"/>
      <c r="F28" s="35" t="n"/>
      <c r="G28" s="75" t="str">
        <f>IF(INDEX(D$6:D$9,MATCH($B28,$C$6:$C$9,0))="OFF","OFF",IF(D28&lt;&gt;"",D28,IF(ISNUMBER(SEARCH(D$10,U28)),"ON","OFF")))</f>
        <v>OFF</v>
      </c>
      <c r="H28" s="75" t="str">
        <f>IF(INDEX(E$6:E$9,MATCH($B28,$C$6:$C$9,0))="OFF","OFF",IF(E28&lt;&gt;"",E28,IF(ISNUMBER(SEARCH(E$10,V28)),"ON","OFF")))</f>
        <v>OFF</v>
      </c>
      <c r="I28" s="75" t="str">
        <f>IF(INDEX(F$6:F$9,MATCH($B28,$C$6:$C$9,0))="OFF","OFF",IF(F28&lt;&gt;"",F28,IF(ISNUMBER(SEARCH(F$10,W28)),"ON","OFF")))</f>
        <v>OFF</v>
      </c>
      <c r="J28" s="39">
        <f>IF(G28="OFF",0,IF(M28&lt;&gt;"",M28,R28))</f>
        <v>0</v>
      </c>
      <c r="K28" s="39">
        <f>IF(H28="OFF",0,IF(N28&lt;&gt;"",N28,S28))</f>
        <v>0</v>
      </c>
      <c r="L28" s="39">
        <f>IF(I28="OFF",0,IF(O28&lt;&gt;"",O28,T28))</f>
        <v>0</v>
      </c>
      <c r="M28" s="54" t="n"/>
      <c r="N28" s="54" t="n"/>
      <c r="O28" s="54" t="n"/>
      <c r="P28" s="38" t="inlineStr">
        <is>
          <t>per store</t>
        </is>
      </c>
      <c r="Q28" s="38" t="inlineStr">
        <is>
          <t>Price breaks</t>
        </is>
      </c>
      <c r="R28" s="54" t="n">
        <v>52000</v>
      </c>
      <c r="S28" s="54" t="n">
        <v>34000</v>
      </c>
      <c r="T28" s="54" t="n">
        <v>24000</v>
      </c>
      <c r="U28" s="35" t="inlineStr">
        <is>
          <t>L</t>
        </is>
      </c>
      <c r="V28" s="35" t="inlineStr">
        <is>
          <t>L</t>
        </is>
      </c>
      <c r="W28" s="35" t="inlineStr">
        <is>
          <t>L</t>
        </is>
      </c>
      <c r="X28" s="38" t="inlineStr">
        <is>
          <t>The Lean stand-in for the LED wall.</t>
        </is>
      </c>
      <c r="Z28" s="76">
        <f>IF(OR(INDEX(D$6:D$9,MATCH($B28,$C$6:$C$9,0))="OFF",IF(D28&lt;&gt;"",D28,IF(ISNUMBER(SEARCH("L",U28)),"ON","OFF"))="OFF"),0,IF(M28&lt;&gt;"",M28,R28))</f>
        <v>52000</v>
      </c>
      <c r="AA28" s="76">
        <f>IF(OR(INDEX(E$6:E$9,MATCH($B28,$C$6:$C$9,0))="OFF",IF(E28&lt;&gt;"",E28,IF(ISNUMBER(SEARCH("L",V28)),"ON","OFF"))="OFF"),0,IF(N28&lt;&gt;"",N28,S28))</f>
        <v>34000</v>
      </c>
      <c r="AB28" s="76">
        <f>IF(OR(INDEX(F$6:F$9,MATCH($B28,$C$6:$C$9,0))="OFF",IF(F28&lt;&gt;"",F28,IF(ISNUMBER(SEARCH("L",W28)),"ON","OFF"))="OFF"),0,IF(O28&lt;&gt;"",O28,T28))</f>
        <v>24000</v>
      </c>
      <c r="AC28" s="76">
        <f>IF(OR(INDEX(D$6:D$9,MATCH($B28,$C$6:$C$9,0))="OFF",IF(D28&lt;&gt;"",D28,IF(ISNUMBER(SEARCH("B",U28)),"ON","OFF"))="OFF"),0,IF(M28&lt;&gt;"",M28,R28))</f>
        <v>0</v>
      </c>
      <c r="AD28" s="76">
        <f>IF(OR(INDEX(E$6:E$9,MATCH($B28,$C$6:$C$9,0))="OFF",IF(E28&lt;&gt;"",E28,IF(ISNUMBER(SEARCH("B",V28)),"ON","OFF"))="OFF"),0,IF(N28&lt;&gt;"",N28,S28))</f>
        <v>0</v>
      </c>
      <c r="AE28" s="76">
        <f>IF(OR(INDEX(F$6:F$9,MATCH($B28,$C$6:$C$9,0))="OFF",IF(F28&lt;&gt;"",F28,IF(ISNUMBER(SEARCH("B",W28)),"ON","OFF"))="OFF"),0,IF(O28&lt;&gt;"",O28,T28))</f>
        <v>0</v>
      </c>
      <c r="AF28" s="76">
        <f>IF(OR(INDEX(D$6:D$9,MATCH($B28,$C$6:$C$9,0))="OFF",IF(D28&lt;&gt;"",D28,IF(ISNUMBER(SEARCH("S",U28)),"ON","OFF"))="OFF"),0,IF(M28&lt;&gt;"",M28,R28))</f>
        <v>0</v>
      </c>
      <c r="AG28" s="76">
        <f>IF(OR(INDEX(E$6:E$9,MATCH($B28,$C$6:$C$9,0))="OFF",IF(E28&lt;&gt;"",E28,IF(ISNUMBER(SEARCH("S",V28)),"ON","OFF"))="OFF"),0,IF(N28&lt;&gt;"",N28,S28))</f>
        <v>0</v>
      </c>
      <c r="AH28" s="76">
        <f>IF(OR(INDEX(F$6:F$9,MATCH($B28,$C$6:$C$9,0))="OFF",IF(F28&lt;&gt;"",F28,IF(ISNUMBER(SEARCH("S",W28)),"ON","OFF"))="OFF"),0,IF(O28&lt;&gt;"",O28,T28))</f>
        <v>0</v>
      </c>
    </row>
    <row r="29">
      <c r="A29" s="3" t="inlineStr">
        <is>
          <t>TEC-03</t>
        </is>
      </c>
      <c r="B29" s="8" t="inlineStr">
        <is>
          <t>Tech</t>
        </is>
      </c>
      <c r="C29" s="8" t="inlineStr">
        <is>
          <t>Immersive LED room</t>
        </is>
      </c>
      <c r="D29" s="35" t="n"/>
      <c r="E29" s="35" t="n"/>
      <c r="F29" s="35" t="n"/>
      <c r="G29" s="75" t="str">
        <f>IF(INDEX(D$6:D$9,MATCH($B29,$C$6:$C$9,0))="OFF","OFF",IF(D29&lt;&gt;"",D29,IF(ISNUMBER(SEARCH(D$10,U29)),"ON","OFF")))</f>
        <v>OFF</v>
      </c>
      <c r="H29" s="75" t="str">
        <f>IF(INDEX(E$6:E$9,MATCH($B29,$C$6:$C$9,0))="OFF","OFF",IF(E29&lt;&gt;"",E29,IF(ISNUMBER(SEARCH(E$10,V29)),"ON","OFF")))</f>
        <v>OFF</v>
      </c>
      <c r="I29" s="75" t="str">
        <f>IF(INDEX(F$6:F$9,MATCH($B29,$C$6:$C$9,0))="OFF","OFF",IF(F29&lt;&gt;"",F29,IF(ISNUMBER(SEARCH(F$10,W29)),"ON","OFF")))</f>
        <v>OFF</v>
      </c>
      <c r="J29" s="39">
        <f>IF(G29="OFF",0,IF(M29&lt;&gt;"",M29,R29))</f>
        <v>0</v>
      </c>
      <c r="K29" s="39">
        <f>IF(H29="OFF",0,IF(N29&lt;&gt;"",N29,S29))</f>
        <v>0</v>
      </c>
      <c r="L29" s="39">
        <f>IF(I29="OFF",0,IF(O29&lt;&gt;"",O29,T29))</f>
        <v>0</v>
      </c>
      <c r="M29" s="54" t="n"/>
      <c r="N29" s="54" t="n"/>
      <c r="O29" s="54" t="n"/>
      <c r="P29" s="38" t="inlineStr">
        <is>
          <t>per store</t>
        </is>
      </c>
      <c r="Q29" s="38" t="inlineStr">
        <is>
          <t>Price breaks</t>
        </is>
      </c>
      <c r="R29" s="54" t="n">
        <v>156000</v>
      </c>
      <c r="S29" s="54" t="n">
        <v>72000</v>
      </c>
      <c r="T29" s="54" t="n">
        <v>0</v>
      </c>
      <c r="U29" s="35" t="inlineStr">
        <is>
          <t>S</t>
        </is>
      </c>
      <c r="V29" s="35" t="inlineStr">
        <is>
          <t>S</t>
        </is>
      </c>
      <c r="W29" s="35" t="inlineStr">
        <is>
          <t>-</t>
        </is>
      </c>
      <c r="X29" s="38" t="inlineStr">
        <is>
          <t>Showcase only; too big for a small store.</t>
        </is>
      </c>
      <c r="Z29" s="76">
        <f>IF(OR(INDEX(D$6:D$9,MATCH($B29,$C$6:$C$9,0))="OFF",IF(D29&lt;&gt;"",D29,IF(ISNUMBER(SEARCH("L",U29)),"ON","OFF"))="OFF"),0,IF(M29&lt;&gt;"",M29,R29))</f>
        <v>0</v>
      </c>
      <c r="AA29" s="76">
        <f>IF(OR(INDEX(E$6:E$9,MATCH($B29,$C$6:$C$9,0))="OFF",IF(E29&lt;&gt;"",E29,IF(ISNUMBER(SEARCH("L",V29)),"ON","OFF"))="OFF"),0,IF(N29&lt;&gt;"",N29,S29))</f>
        <v>0</v>
      </c>
      <c r="AB29" s="76">
        <f>IF(OR(INDEX(F$6:F$9,MATCH($B29,$C$6:$C$9,0))="OFF",IF(F29&lt;&gt;"",F29,IF(ISNUMBER(SEARCH("L",W29)),"ON","OFF"))="OFF"),0,IF(O29&lt;&gt;"",O29,T29))</f>
        <v>0</v>
      </c>
      <c r="AC29" s="76">
        <f>IF(OR(INDEX(D$6:D$9,MATCH($B29,$C$6:$C$9,0))="OFF",IF(D29&lt;&gt;"",D29,IF(ISNUMBER(SEARCH("B",U29)),"ON","OFF"))="OFF"),0,IF(M29&lt;&gt;"",M29,R29))</f>
        <v>0</v>
      </c>
      <c r="AD29" s="76">
        <f>IF(OR(INDEX(E$6:E$9,MATCH($B29,$C$6:$C$9,0))="OFF",IF(E29&lt;&gt;"",E29,IF(ISNUMBER(SEARCH("B",V29)),"ON","OFF"))="OFF"),0,IF(N29&lt;&gt;"",N29,S29))</f>
        <v>0</v>
      </c>
      <c r="AE29" s="76">
        <f>IF(OR(INDEX(F$6:F$9,MATCH($B29,$C$6:$C$9,0))="OFF",IF(F29&lt;&gt;"",F29,IF(ISNUMBER(SEARCH("B",W29)),"ON","OFF"))="OFF"),0,IF(O29&lt;&gt;"",O29,T29))</f>
        <v>0</v>
      </c>
      <c r="AF29" s="76">
        <f>IF(OR(INDEX(D$6:D$9,MATCH($B29,$C$6:$C$9,0))="OFF",IF(D29&lt;&gt;"",D29,IF(ISNUMBER(SEARCH("S",U29)),"ON","OFF"))="OFF"),0,IF(M29&lt;&gt;"",M29,R29))</f>
        <v>156000</v>
      </c>
      <c r="AG29" s="76">
        <f>IF(OR(INDEX(E$6:E$9,MATCH($B29,$C$6:$C$9,0))="OFF",IF(E29&lt;&gt;"",E29,IF(ISNUMBER(SEARCH("S",V29)),"ON","OFF"))="OFF"),0,IF(N29&lt;&gt;"",N29,S29))</f>
        <v>72000</v>
      </c>
      <c r="AH29" s="76">
        <f>IF(OR(INDEX(F$6:F$9,MATCH($B29,$C$6:$C$9,0))="OFF",IF(F29&lt;&gt;"",F29,IF(ISNUMBER(SEARCH("S",W29)),"ON","OFF"))="OFF"),0,IF(O29&lt;&gt;"",O29,T29))</f>
        <v>0</v>
      </c>
    </row>
    <row r="30">
      <c r="A30" s="3" t="inlineStr">
        <is>
          <t>TEC-04</t>
        </is>
      </c>
      <c r="B30" s="8" t="inlineStr">
        <is>
          <t>Tech</t>
        </is>
      </c>
      <c r="C30" s="8" t="inlineStr">
        <is>
          <t>Exterior facade screen</t>
        </is>
      </c>
      <c r="D30" s="35" t="n"/>
      <c r="E30" s="35" t="n"/>
      <c r="F30" s="35" t="n"/>
      <c r="G30" s="75" t="str">
        <f>IF(INDEX(D$6:D$9,MATCH($B30,$C$6:$C$9,0))="OFF","OFF",IF(D30&lt;&gt;"",D30,IF(ISNUMBER(SEARCH(D$10,U30)),"ON","OFF")))</f>
        <v>OFF</v>
      </c>
      <c r="H30" s="75" t="str">
        <f>IF(INDEX(E$6:E$9,MATCH($B30,$C$6:$C$9,0))="OFF","OFF",IF(E30&lt;&gt;"",E30,IF(ISNUMBER(SEARCH(E$10,V30)),"ON","OFF")))</f>
        <v>OFF</v>
      </c>
      <c r="I30" s="75" t="str">
        <f>IF(INDEX(F$6:F$9,MATCH($B30,$C$6:$C$9,0))="OFF","OFF",IF(F30&lt;&gt;"",F30,IF(ISNUMBER(SEARCH(F$10,W30)),"ON","OFF")))</f>
        <v>OFF</v>
      </c>
      <c r="J30" s="39">
        <f>IF(G30="OFF",0,IF(M30&lt;&gt;"",M30,R30))</f>
        <v>0</v>
      </c>
      <c r="K30" s="39">
        <f>IF(H30="OFF",0,IF(N30&lt;&gt;"",N30,S30))</f>
        <v>0</v>
      </c>
      <c r="L30" s="39">
        <f>IF(I30="OFF",0,IF(O30&lt;&gt;"",O30,T30))</f>
        <v>0</v>
      </c>
      <c r="M30" s="54" t="n"/>
      <c r="N30" s="54" t="n"/>
      <c r="O30" s="54" t="n"/>
      <c r="P30" s="38" t="inlineStr">
        <is>
          <t>per store</t>
        </is>
      </c>
      <c r="Q30" s="38" t="inlineStr">
        <is>
          <t>Price breaks</t>
        </is>
      </c>
      <c r="R30" s="54" t="n">
        <v>94000</v>
      </c>
      <c r="S30" s="54" t="n">
        <v>56000</v>
      </c>
      <c r="T30" s="54" t="n">
        <v>30000</v>
      </c>
      <c r="U30" s="35" t="inlineStr">
        <is>
          <t>S</t>
        </is>
      </c>
      <c r="V30" s="35" t="inlineStr">
        <is>
          <t>S</t>
        </is>
      </c>
      <c r="W30" s="35" t="inlineStr">
        <is>
          <t>S</t>
        </is>
      </c>
      <c r="X30" s="38" t="inlineStr">
        <is>
          <t>Showcase only.</t>
        </is>
      </c>
      <c r="Z30" s="76">
        <f>IF(OR(INDEX(D$6:D$9,MATCH($B30,$C$6:$C$9,0))="OFF",IF(D30&lt;&gt;"",D30,IF(ISNUMBER(SEARCH("L",U30)),"ON","OFF"))="OFF"),0,IF(M30&lt;&gt;"",M30,R30))</f>
        <v>0</v>
      </c>
      <c r="AA30" s="76">
        <f>IF(OR(INDEX(E$6:E$9,MATCH($B30,$C$6:$C$9,0))="OFF",IF(E30&lt;&gt;"",E30,IF(ISNUMBER(SEARCH("L",V30)),"ON","OFF"))="OFF"),0,IF(N30&lt;&gt;"",N30,S30))</f>
        <v>0</v>
      </c>
      <c r="AB30" s="76">
        <f>IF(OR(INDEX(F$6:F$9,MATCH($B30,$C$6:$C$9,0))="OFF",IF(F30&lt;&gt;"",F30,IF(ISNUMBER(SEARCH("L",W30)),"ON","OFF"))="OFF"),0,IF(O30&lt;&gt;"",O30,T30))</f>
        <v>0</v>
      </c>
      <c r="AC30" s="76">
        <f>IF(OR(INDEX(D$6:D$9,MATCH($B30,$C$6:$C$9,0))="OFF",IF(D30&lt;&gt;"",D30,IF(ISNUMBER(SEARCH("B",U30)),"ON","OFF"))="OFF"),0,IF(M30&lt;&gt;"",M30,R30))</f>
        <v>0</v>
      </c>
      <c r="AD30" s="76">
        <f>IF(OR(INDEX(E$6:E$9,MATCH($B30,$C$6:$C$9,0))="OFF",IF(E30&lt;&gt;"",E30,IF(ISNUMBER(SEARCH("B",V30)),"ON","OFF"))="OFF"),0,IF(N30&lt;&gt;"",N30,S30))</f>
        <v>0</v>
      </c>
      <c r="AE30" s="76">
        <f>IF(OR(INDEX(F$6:F$9,MATCH($B30,$C$6:$C$9,0))="OFF",IF(F30&lt;&gt;"",F30,IF(ISNUMBER(SEARCH("B",W30)),"ON","OFF"))="OFF"),0,IF(O30&lt;&gt;"",O30,T30))</f>
        <v>0</v>
      </c>
      <c r="AF30" s="76">
        <f>IF(OR(INDEX(D$6:D$9,MATCH($B30,$C$6:$C$9,0))="OFF",IF(D30&lt;&gt;"",D30,IF(ISNUMBER(SEARCH("S",U30)),"ON","OFF"))="OFF"),0,IF(M30&lt;&gt;"",M30,R30))</f>
        <v>94000</v>
      </c>
      <c r="AG30" s="76">
        <f>IF(OR(INDEX(E$6:E$9,MATCH($B30,$C$6:$C$9,0))="OFF",IF(E30&lt;&gt;"",E30,IF(ISNUMBER(SEARCH("S",V30)),"ON","OFF"))="OFF"),0,IF(N30&lt;&gt;"",N30,S30))</f>
        <v>56000</v>
      </c>
      <c r="AH30" s="76">
        <f>IF(OR(INDEX(F$6:F$9,MATCH($B30,$C$6:$C$9,0))="OFF",IF(F30&lt;&gt;"",F30,IF(ISNUMBER(SEARCH("S",W30)),"ON","OFF"))="OFF"),0,IF(O30&lt;&gt;"",O30,T30))</f>
        <v>30000</v>
      </c>
    </row>
    <row r="31">
      <c r="A31" s="3" t="inlineStr">
        <is>
          <t>TEC-05</t>
        </is>
      </c>
      <c r="B31" s="8" t="inlineStr">
        <is>
          <t>Tech</t>
        </is>
      </c>
      <c r="C31" s="8" t="inlineStr">
        <is>
          <t>Interactive displays and kiosks</t>
        </is>
      </c>
      <c r="D31" s="35" t="n"/>
      <c r="E31" s="35" t="n"/>
      <c r="F31" s="35" t="n"/>
      <c r="G31" s="75" t="str">
        <f>IF(INDEX(D$6:D$9,MATCH($B31,$C$6:$C$9,0))="OFF","OFF",IF(D31&lt;&gt;"",D31,IF(ISNUMBER(SEARCH(D$10,U31)),"ON","OFF")))</f>
        <v>ON</v>
      </c>
      <c r="H31" s="75" t="str">
        <f>IF(INDEX(E$6:E$9,MATCH($B31,$C$6:$C$9,0))="OFF","OFF",IF(E31&lt;&gt;"",E31,IF(ISNUMBER(SEARCH(E$10,V31)),"ON","OFF")))</f>
        <v>ON</v>
      </c>
      <c r="I31" s="75" t="str">
        <f>IF(INDEX(F$6:F$9,MATCH($B31,$C$6:$C$9,0))="OFF","OFF",IF(F31&lt;&gt;"",F31,IF(ISNUMBER(SEARCH(F$10,W31)),"ON","OFF")))</f>
        <v>OFF</v>
      </c>
      <c r="J31" s="39">
        <f>IF(G31="OFF",0,IF(M31&lt;&gt;"",M31,R31))</f>
        <v>58000</v>
      </c>
      <c r="K31" s="39">
        <f>IF(H31="OFF",0,IF(N31&lt;&gt;"",N31,S31))</f>
        <v>30000</v>
      </c>
      <c r="L31" s="39">
        <f>IF(I31="OFF",0,IF(O31&lt;&gt;"",O31,T31))</f>
        <v>0</v>
      </c>
      <c r="M31" s="54" t="n"/>
      <c r="N31" s="54" t="n"/>
      <c r="O31" s="54" t="n"/>
      <c r="P31" s="38" t="inlineStr">
        <is>
          <t>per store</t>
        </is>
      </c>
      <c r="Q31" s="38" t="inlineStr">
        <is>
          <t>Price breaks</t>
        </is>
      </c>
      <c r="R31" s="54" t="n">
        <v>58000</v>
      </c>
      <c r="S31" s="54" t="n">
        <v>30000</v>
      </c>
      <c r="T31" s="54" t="n">
        <v>16000</v>
      </c>
      <c r="U31" s="35" t="inlineStr">
        <is>
          <t>BS</t>
        </is>
      </c>
      <c r="V31" s="35" t="inlineStr">
        <is>
          <t>BS</t>
        </is>
      </c>
      <c r="W31" s="35" t="inlineStr">
        <is>
          <t>S</t>
        </is>
      </c>
      <c r="X31" s="38" t="inlineStr"/>
      <c r="Z31" s="76">
        <f>IF(OR(INDEX(D$6:D$9,MATCH($B31,$C$6:$C$9,0))="OFF",IF(D31&lt;&gt;"",D31,IF(ISNUMBER(SEARCH("L",U31)),"ON","OFF"))="OFF"),0,IF(M31&lt;&gt;"",M31,R31))</f>
        <v>0</v>
      </c>
      <c r="AA31" s="76">
        <f>IF(OR(INDEX(E$6:E$9,MATCH($B31,$C$6:$C$9,0))="OFF",IF(E31&lt;&gt;"",E31,IF(ISNUMBER(SEARCH("L",V31)),"ON","OFF"))="OFF"),0,IF(N31&lt;&gt;"",N31,S31))</f>
        <v>0</v>
      </c>
      <c r="AB31" s="76">
        <f>IF(OR(INDEX(F$6:F$9,MATCH($B31,$C$6:$C$9,0))="OFF",IF(F31&lt;&gt;"",F31,IF(ISNUMBER(SEARCH("L",W31)),"ON","OFF"))="OFF"),0,IF(O31&lt;&gt;"",O31,T31))</f>
        <v>0</v>
      </c>
      <c r="AC31" s="76">
        <f>IF(OR(INDEX(D$6:D$9,MATCH($B31,$C$6:$C$9,0))="OFF",IF(D31&lt;&gt;"",D31,IF(ISNUMBER(SEARCH("B",U31)),"ON","OFF"))="OFF"),0,IF(M31&lt;&gt;"",M31,R31))</f>
        <v>58000</v>
      </c>
      <c r="AD31" s="76">
        <f>IF(OR(INDEX(E$6:E$9,MATCH($B31,$C$6:$C$9,0))="OFF",IF(E31&lt;&gt;"",E31,IF(ISNUMBER(SEARCH("B",V31)),"ON","OFF"))="OFF"),0,IF(N31&lt;&gt;"",N31,S31))</f>
        <v>30000</v>
      </c>
      <c r="AE31" s="76">
        <f>IF(OR(INDEX(F$6:F$9,MATCH($B31,$C$6:$C$9,0))="OFF",IF(F31&lt;&gt;"",F31,IF(ISNUMBER(SEARCH("B",W31)),"ON","OFF"))="OFF"),0,IF(O31&lt;&gt;"",O31,T31))</f>
        <v>0</v>
      </c>
      <c r="AF31" s="76">
        <f>IF(OR(INDEX(D$6:D$9,MATCH($B31,$C$6:$C$9,0))="OFF",IF(D31&lt;&gt;"",D31,IF(ISNUMBER(SEARCH("S",U31)),"ON","OFF"))="OFF"),0,IF(M31&lt;&gt;"",M31,R31))</f>
        <v>58000</v>
      </c>
      <c r="AG31" s="76">
        <f>IF(OR(INDEX(E$6:E$9,MATCH($B31,$C$6:$C$9,0))="OFF",IF(E31&lt;&gt;"",E31,IF(ISNUMBER(SEARCH("S",V31)),"ON","OFF"))="OFF"),0,IF(N31&lt;&gt;"",N31,S31))</f>
        <v>30000</v>
      </c>
      <c r="AH31" s="76">
        <f>IF(OR(INDEX(F$6:F$9,MATCH($B31,$C$6:$C$9,0))="OFF",IF(F31&lt;&gt;"",F31,IF(ISNUMBER(SEARCH("S",W31)),"ON","OFF"))="OFF"),0,IF(O31&lt;&gt;"",O31,T31))</f>
        <v>16000</v>
      </c>
    </row>
    <row r="32">
      <c r="A32" s="3" t="inlineStr">
        <is>
          <t>TEC-06</t>
        </is>
      </c>
      <c r="B32" s="8" t="inlineStr">
        <is>
          <t>Tech</t>
        </is>
      </c>
      <c r="C32" s="8" t="inlineStr">
        <is>
          <t>People counting and dwell sensors</t>
        </is>
      </c>
      <c r="D32" s="35" t="n"/>
      <c r="E32" s="35" t="n"/>
      <c r="F32" s="35" t="n"/>
      <c r="G32" s="75" t="str">
        <f>IF(INDEX(D$6:D$9,MATCH($B32,$C$6:$C$9,0))="OFF","OFF",IF(D32&lt;&gt;"",D32,IF(ISNUMBER(SEARCH(D$10,U32)),"ON","OFF")))</f>
        <v>ON</v>
      </c>
      <c r="H32" s="75" t="str">
        <f>IF(INDEX(E$6:E$9,MATCH($B32,$C$6:$C$9,0))="OFF","OFF",IF(E32&lt;&gt;"",E32,IF(ISNUMBER(SEARCH(E$10,V32)),"ON","OFF")))</f>
        <v>ON</v>
      </c>
      <c r="I32" s="75" t="str">
        <f>IF(INDEX(F$6:F$9,MATCH($B32,$C$6:$C$9,0))="OFF","OFF",IF(F32&lt;&gt;"",F32,IF(ISNUMBER(SEARCH(F$10,W32)),"ON","OFF")))</f>
        <v>ON</v>
      </c>
      <c r="J32" s="39">
        <f>IF(G32="OFF",0,IF(M32&lt;&gt;"",M32,R32))</f>
        <v>13000</v>
      </c>
      <c r="K32" s="39">
        <f>IF(H32="OFF",0,IF(N32&lt;&gt;"",N32,S32))</f>
        <v>8000</v>
      </c>
      <c r="L32" s="39">
        <f>IF(I32="OFF",0,IF(O32&lt;&gt;"",O32,T32))</f>
        <v>5000</v>
      </c>
      <c r="M32" s="54" t="n"/>
      <c r="N32" s="54" t="n"/>
      <c r="O32" s="54" t="n"/>
      <c r="P32" s="38" t="inlineStr">
        <is>
          <t>per store</t>
        </is>
      </c>
      <c r="Q32" s="38" t="inlineStr">
        <is>
          <t>Price breaks</t>
        </is>
      </c>
      <c r="R32" s="54" t="n">
        <v>13000</v>
      </c>
      <c r="S32" s="54" t="n">
        <v>8000</v>
      </c>
      <c r="T32" s="54" t="n">
        <v>5000</v>
      </c>
      <c r="U32" s="35" t="inlineStr">
        <is>
          <t>LBS</t>
        </is>
      </c>
      <c r="V32" s="35" t="inlineStr">
        <is>
          <t>LBS</t>
        </is>
      </c>
      <c r="W32" s="35" t="inlineStr">
        <is>
          <t>LBS</t>
        </is>
      </c>
      <c r="X32" s="38" t="inlineStr">
        <is>
          <t>The same idea as Melbourne's street counters, inside the store.</t>
        </is>
      </c>
      <c r="Z32" s="76">
        <f>IF(OR(INDEX(D$6:D$9,MATCH($B32,$C$6:$C$9,0))="OFF",IF(D32&lt;&gt;"",D32,IF(ISNUMBER(SEARCH("L",U32)),"ON","OFF"))="OFF"),0,IF(M32&lt;&gt;"",M32,R32))</f>
        <v>13000</v>
      </c>
      <c r="AA32" s="76">
        <f>IF(OR(INDEX(E$6:E$9,MATCH($B32,$C$6:$C$9,0))="OFF",IF(E32&lt;&gt;"",E32,IF(ISNUMBER(SEARCH("L",V32)),"ON","OFF"))="OFF"),0,IF(N32&lt;&gt;"",N32,S32))</f>
        <v>8000</v>
      </c>
      <c r="AB32" s="76">
        <f>IF(OR(INDEX(F$6:F$9,MATCH($B32,$C$6:$C$9,0))="OFF",IF(F32&lt;&gt;"",F32,IF(ISNUMBER(SEARCH("L",W32)),"ON","OFF"))="OFF"),0,IF(O32&lt;&gt;"",O32,T32))</f>
        <v>5000</v>
      </c>
      <c r="AC32" s="76">
        <f>IF(OR(INDEX(D$6:D$9,MATCH($B32,$C$6:$C$9,0))="OFF",IF(D32&lt;&gt;"",D32,IF(ISNUMBER(SEARCH("B",U32)),"ON","OFF"))="OFF"),0,IF(M32&lt;&gt;"",M32,R32))</f>
        <v>13000</v>
      </c>
      <c r="AD32" s="76">
        <f>IF(OR(INDEX(E$6:E$9,MATCH($B32,$C$6:$C$9,0))="OFF",IF(E32&lt;&gt;"",E32,IF(ISNUMBER(SEARCH("B",V32)),"ON","OFF"))="OFF"),0,IF(N32&lt;&gt;"",N32,S32))</f>
        <v>8000</v>
      </c>
      <c r="AE32" s="76">
        <f>IF(OR(INDEX(F$6:F$9,MATCH($B32,$C$6:$C$9,0))="OFF",IF(F32&lt;&gt;"",F32,IF(ISNUMBER(SEARCH("B",W32)),"ON","OFF"))="OFF"),0,IF(O32&lt;&gt;"",O32,T32))</f>
        <v>5000</v>
      </c>
      <c r="AF32" s="76">
        <f>IF(OR(INDEX(D$6:D$9,MATCH($B32,$C$6:$C$9,0))="OFF",IF(D32&lt;&gt;"",D32,IF(ISNUMBER(SEARCH("S",U32)),"ON","OFF"))="OFF"),0,IF(M32&lt;&gt;"",M32,R32))</f>
        <v>13000</v>
      </c>
      <c r="AG32" s="76">
        <f>IF(OR(INDEX(E$6:E$9,MATCH($B32,$C$6:$C$9,0))="OFF",IF(E32&lt;&gt;"",E32,IF(ISNUMBER(SEARCH("S",V32)),"ON","OFF"))="OFF"),0,IF(N32&lt;&gt;"",N32,S32))</f>
        <v>8000</v>
      </c>
      <c r="AH32" s="76">
        <f>IF(OR(INDEX(F$6:F$9,MATCH($B32,$C$6:$C$9,0))="OFF",IF(F32&lt;&gt;"",F32,IF(ISNUMBER(SEARCH("S",W32)),"ON","OFF"))="OFF"),0,IF(O32&lt;&gt;"",O32,T32))</f>
        <v>5000</v>
      </c>
    </row>
    <row r="33">
      <c r="A33" s="3" t="inlineStr">
        <is>
          <t>TEC-07</t>
        </is>
      </c>
      <c r="B33" s="8" t="inlineStr">
        <is>
          <t>Tech</t>
        </is>
      </c>
      <c r="C33" s="8" t="inlineStr">
        <is>
          <t>Media players and edge computing</t>
        </is>
      </c>
      <c r="D33" s="35" t="n"/>
      <c r="E33" s="35" t="n"/>
      <c r="F33" s="35" t="n"/>
      <c r="G33" s="75" t="str">
        <f>IF(INDEX(D$6:D$9,MATCH($B33,$C$6:$C$9,0))="OFF","OFF",IF(D33&lt;&gt;"",D33,IF(ISNUMBER(SEARCH(D$10,U33)),"ON","OFF")))</f>
        <v>ON</v>
      </c>
      <c r="H33" s="75" t="str">
        <f>IF(INDEX(E$6:E$9,MATCH($B33,$C$6:$C$9,0))="OFF","OFF",IF(E33&lt;&gt;"",E33,IF(ISNUMBER(SEARCH(E$10,V33)),"ON","OFF")))</f>
        <v>ON</v>
      </c>
      <c r="I33" s="75" t="str">
        <f>IF(INDEX(F$6:F$9,MATCH($B33,$C$6:$C$9,0))="OFF","OFF",IF(F33&lt;&gt;"",F33,IF(ISNUMBER(SEARCH(F$10,W33)),"ON","OFF")))</f>
        <v>ON</v>
      </c>
      <c r="J33" s="39">
        <f>IF(G33="OFF",0,IF(M33&lt;&gt;"",M33,R33))</f>
        <v>22000</v>
      </c>
      <c r="K33" s="39">
        <f>IF(H33="OFF",0,IF(N33&lt;&gt;"",N33,S33))</f>
        <v>12000</v>
      </c>
      <c r="L33" s="39">
        <f>IF(I33="OFF",0,IF(O33&lt;&gt;"",O33,T33))</f>
        <v>7000</v>
      </c>
      <c r="M33" s="54" t="n"/>
      <c r="N33" s="54" t="n"/>
      <c r="O33" s="54" t="n"/>
      <c r="P33" s="38" t="inlineStr">
        <is>
          <t>per store</t>
        </is>
      </c>
      <c r="Q33" s="38" t="inlineStr">
        <is>
          <t>Price breaks</t>
        </is>
      </c>
      <c r="R33" s="54" t="n">
        <v>22000</v>
      </c>
      <c r="S33" s="54" t="n">
        <v>12000</v>
      </c>
      <c r="T33" s="54" t="n">
        <v>7000</v>
      </c>
      <c r="U33" s="35" t="inlineStr">
        <is>
          <t>LBS</t>
        </is>
      </c>
      <c r="V33" s="35" t="inlineStr">
        <is>
          <t>LBS</t>
        </is>
      </c>
      <c r="W33" s="35" t="inlineStr">
        <is>
          <t>LBS</t>
        </is>
      </c>
      <c r="X33" s="38" t="inlineStr"/>
      <c r="Z33" s="76">
        <f>IF(OR(INDEX(D$6:D$9,MATCH($B33,$C$6:$C$9,0))="OFF",IF(D33&lt;&gt;"",D33,IF(ISNUMBER(SEARCH("L",U33)),"ON","OFF"))="OFF"),0,IF(M33&lt;&gt;"",M33,R33))</f>
        <v>22000</v>
      </c>
      <c r="AA33" s="76">
        <f>IF(OR(INDEX(E$6:E$9,MATCH($B33,$C$6:$C$9,0))="OFF",IF(E33&lt;&gt;"",E33,IF(ISNUMBER(SEARCH("L",V33)),"ON","OFF"))="OFF"),0,IF(N33&lt;&gt;"",N33,S33))</f>
        <v>12000</v>
      </c>
      <c r="AB33" s="76">
        <f>IF(OR(INDEX(F$6:F$9,MATCH($B33,$C$6:$C$9,0))="OFF",IF(F33&lt;&gt;"",F33,IF(ISNUMBER(SEARCH("L",W33)),"ON","OFF"))="OFF"),0,IF(O33&lt;&gt;"",O33,T33))</f>
        <v>7000</v>
      </c>
      <c r="AC33" s="76">
        <f>IF(OR(INDEX(D$6:D$9,MATCH($B33,$C$6:$C$9,0))="OFF",IF(D33&lt;&gt;"",D33,IF(ISNUMBER(SEARCH("B",U33)),"ON","OFF"))="OFF"),0,IF(M33&lt;&gt;"",M33,R33))</f>
        <v>22000</v>
      </c>
      <c r="AD33" s="76">
        <f>IF(OR(INDEX(E$6:E$9,MATCH($B33,$C$6:$C$9,0))="OFF",IF(E33&lt;&gt;"",E33,IF(ISNUMBER(SEARCH("B",V33)),"ON","OFF"))="OFF"),0,IF(N33&lt;&gt;"",N33,S33))</f>
        <v>12000</v>
      </c>
      <c r="AE33" s="76">
        <f>IF(OR(INDEX(F$6:F$9,MATCH($B33,$C$6:$C$9,0))="OFF",IF(F33&lt;&gt;"",F33,IF(ISNUMBER(SEARCH("B",W33)),"ON","OFF"))="OFF"),0,IF(O33&lt;&gt;"",O33,T33))</f>
        <v>7000</v>
      </c>
      <c r="AF33" s="76">
        <f>IF(OR(INDEX(D$6:D$9,MATCH($B33,$C$6:$C$9,0))="OFF",IF(D33&lt;&gt;"",D33,IF(ISNUMBER(SEARCH("S",U33)),"ON","OFF"))="OFF"),0,IF(M33&lt;&gt;"",M33,R33))</f>
        <v>22000</v>
      </c>
      <c r="AG33" s="76">
        <f>IF(OR(INDEX(E$6:E$9,MATCH($B33,$C$6:$C$9,0))="OFF",IF(E33&lt;&gt;"",E33,IF(ISNUMBER(SEARCH("S",V33)),"ON","OFF"))="OFF"),0,IF(N33&lt;&gt;"",N33,S33))</f>
        <v>12000</v>
      </c>
      <c r="AH33" s="76">
        <f>IF(OR(INDEX(F$6:F$9,MATCH($B33,$C$6:$C$9,0))="OFF",IF(F33&lt;&gt;"",F33,IF(ISNUMBER(SEARCH("S",W33)),"ON","OFF"))="OFF"),0,IF(O33&lt;&gt;"",O33,T33))</f>
        <v>7000</v>
      </c>
    </row>
    <row r="34">
      <c r="A34" s="3" t="inlineStr">
        <is>
          <t>TEC-08</t>
        </is>
      </c>
      <c r="B34" s="8" t="inlineStr">
        <is>
          <t>Tech</t>
        </is>
      </c>
      <c r="C34" s="8" t="inlineStr">
        <is>
          <t>Audio system</t>
        </is>
      </c>
      <c r="D34" s="35" t="n"/>
      <c r="E34" s="35" t="n"/>
      <c r="F34" s="35" t="n"/>
      <c r="G34" s="75" t="str">
        <f>IF(INDEX(D$6:D$9,MATCH($B34,$C$6:$C$9,0))="OFF","OFF",IF(D34&lt;&gt;"",D34,IF(ISNUMBER(SEARCH(D$10,U34)),"ON","OFF")))</f>
        <v>ON</v>
      </c>
      <c r="H34" s="75" t="str">
        <f>IF(INDEX(E$6:E$9,MATCH($B34,$C$6:$C$9,0))="OFF","OFF",IF(E34&lt;&gt;"",E34,IF(ISNUMBER(SEARCH(E$10,V34)),"ON","OFF")))</f>
        <v>ON</v>
      </c>
      <c r="I34" s="75" t="str">
        <f>IF(INDEX(F$6:F$9,MATCH($B34,$C$6:$C$9,0))="OFF","OFF",IF(F34&lt;&gt;"",F34,IF(ISNUMBER(SEARCH(F$10,W34)),"ON","OFF")))</f>
        <v>ON</v>
      </c>
      <c r="J34" s="39">
        <f>IF(G34="OFF",0,IF(M34&lt;&gt;"",M34,R34))</f>
        <v>17000</v>
      </c>
      <c r="K34" s="39">
        <f>IF(H34="OFF",0,IF(N34&lt;&gt;"",N34,S34))</f>
        <v>9000</v>
      </c>
      <c r="L34" s="39">
        <f>IF(I34="OFF",0,IF(O34&lt;&gt;"",O34,T34))</f>
        <v>5000</v>
      </c>
      <c r="M34" s="54" t="n"/>
      <c r="N34" s="54" t="n"/>
      <c r="O34" s="54" t="n"/>
      <c r="P34" s="38" t="inlineStr">
        <is>
          <t>per store</t>
        </is>
      </c>
      <c r="Q34" s="38" t="inlineStr">
        <is>
          <t>Price breaks</t>
        </is>
      </c>
      <c r="R34" s="54" t="n">
        <v>17000</v>
      </c>
      <c r="S34" s="54" t="n">
        <v>9000</v>
      </c>
      <c r="T34" s="54" t="n">
        <v>5000</v>
      </c>
      <c r="U34" s="35" t="inlineStr">
        <is>
          <t>LBS</t>
        </is>
      </c>
      <c r="V34" s="35" t="inlineStr">
        <is>
          <t>BS</t>
        </is>
      </c>
      <c r="W34" s="35" t="inlineStr">
        <is>
          <t>BS</t>
        </is>
      </c>
      <c r="X34" s="38" t="inlineStr"/>
      <c r="Z34" s="76">
        <f>IF(OR(INDEX(D$6:D$9,MATCH($B34,$C$6:$C$9,0))="OFF",IF(D34&lt;&gt;"",D34,IF(ISNUMBER(SEARCH("L",U34)),"ON","OFF"))="OFF"),0,IF(M34&lt;&gt;"",M34,R34))</f>
        <v>17000</v>
      </c>
      <c r="AA34" s="76">
        <f>IF(OR(INDEX(E$6:E$9,MATCH($B34,$C$6:$C$9,0))="OFF",IF(E34&lt;&gt;"",E34,IF(ISNUMBER(SEARCH("L",V34)),"ON","OFF"))="OFF"),0,IF(N34&lt;&gt;"",N34,S34))</f>
        <v>0</v>
      </c>
      <c r="AB34" s="76">
        <f>IF(OR(INDEX(F$6:F$9,MATCH($B34,$C$6:$C$9,0))="OFF",IF(F34&lt;&gt;"",F34,IF(ISNUMBER(SEARCH("L",W34)),"ON","OFF"))="OFF"),0,IF(O34&lt;&gt;"",O34,T34))</f>
        <v>0</v>
      </c>
      <c r="AC34" s="76">
        <f>IF(OR(INDEX(D$6:D$9,MATCH($B34,$C$6:$C$9,0))="OFF",IF(D34&lt;&gt;"",D34,IF(ISNUMBER(SEARCH("B",U34)),"ON","OFF"))="OFF"),0,IF(M34&lt;&gt;"",M34,R34))</f>
        <v>17000</v>
      </c>
      <c r="AD34" s="76">
        <f>IF(OR(INDEX(E$6:E$9,MATCH($B34,$C$6:$C$9,0))="OFF",IF(E34&lt;&gt;"",E34,IF(ISNUMBER(SEARCH("B",V34)),"ON","OFF"))="OFF"),0,IF(N34&lt;&gt;"",N34,S34))</f>
        <v>9000</v>
      </c>
      <c r="AE34" s="76">
        <f>IF(OR(INDEX(F$6:F$9,MATCH($B34,$C$6:$C$9,0))="OFF",IF(F34&lt;&gt;"",F34,IF(ISNUMBER(SEARCH("B",W34)),"ON","OFF"))="OFF"),0,IF(O34&lt;&gt;"",O34,T34))</f>
        <v>5000</v>
      </c>
      <c r="AF34" s="76">
        <f>IF(OR(INDEX(D$6:D$9,MATCH($B34,$C$6:$C$9,0))="OFF",IF(D34&lt;&gt;"",D34,IF(ISNUMBER(SEARCH("S",U34)),"ON","OFF"))="OFF"),0,IF(M34&lt;&gt;"",M34,R34))</f>
        <v>17000</v>
      </c>
      <c r="AG34" s="76">
        <f>IF(OR(INDEX(E$6:E$9,MATCH($B34,$C$6:$C$9,0))="OFF",IF(E34&lt;&gt;"",E34,IF(ISNUMBER(SEARCH("S",V34)),"ON","OFF"))="OFF"),0,IF(N34&lt;&gt;"",N34,S34))</f>
        <v>9000</v>
      </c>
      <c r="AH34" s="76">
        <f>IF(OR(INDEX(F$6:F$9,MATCH($B34,$C$6:$C$9,0))="OFF",IF(F34&lt;&gt;"",F34,IF(ISNUMBER(SEARCH("S",W34)),"ON","OFF"))="OFF"),0,IF(O34&lt;&gt;"",O34,T34))</f>
        <v>5000</v>
      </c>
    </row>
    <row r="35">
      <c r="A35" s="3" t="inlineStr">
        <is>
          <t>TEC-09</t>
        </is>
      </c>
      <c r="B35" s="8" t="inlineStr">
        <is>
          <t>Tech</t>
        </is>
      </c>
      <c r="C35" s="8" t="inlineStr">
        <is>
          <t>Network, wifi and security</t>
        </is>
      </c>
      <c r="D35" s="35" t="n"/>
      <c r="E35" s="35" t="n"/>
      <c r="F35" s="35" t="n"/>
      <c r="G35" s="75" t="str">
        <f>IF(INDEX(D$6:D$9,MATCH($B35,$C$6:$C$9,0))="OFF","OFF",IF(D35&lt;&gt;"",D35,IF(ISNUMBER(SEARCH(D$10,U35)),"ON","OFF")))</f>
        <v>ON</v>
      </c>
      <c r="H35" s="75" t="str">
        <f>IF(INDEX(E$6:E$9,MATCH($B35,$C$6:$C$9,0))="OFF","OFF",IF(E35&lt;&gt;"",E35,IF(ISNUMBER(SEARCH(E$10,V35)),"ON","OFF")))</f>
        <v>ON</v>
      </c>
      <c r="I35" s="75" t="str">
        <f>IF(INDEX(F$6:F$9,MATCH($B35,$C$6:$C$9,0))="OFF","OFF",IF(F35&lt;&gt;"",F35,IF(ISNUMBER(SEARCH(F$10,W35)),"ON","OFF")))</f>
        <v>ON</v>
      </c>
      <c r="J35" s="39">
        <f>IF(G35="OFF",0,IF(M35&lt;&gt;"",M35,R35))</f>
        <v>15000</v>
      </c>
      <c r="K35" s="39">
        <f>IF(H35="OFF",0,IF(N35&lt;&gt;"",N35,S35))</f>
        <v>11000</v>
      </c>
      <c r="L35" s="39">
        <f>IF(I35="OFF",0,IF(O35&lt;&gt;"",O35,T35))</f>
        <v>9000</v>
      </c>
      <c r="M35" s="54" t="n"/>
      <c r="N35" s="54" t="n"/>
      <c r="O35" s="54" t="n"/>
      <c r="P35" s="38" t="inlineStr">
        <is>
          <t>per store</t>
        </is>
      </c>
      <c r="Q35" s="38" t="inlineStr">
        <is>
          <t>Price breaks</t>
        </is>
      </c>
      <c r="R35" s="54" t="n">
        <v>15000</v>
      </c>
      <c r="S35" s="54" t="n">
        <v>11000</v>
      </c>
      <c r="T35" s="54" t="n">
        <v>9000</v>
      </c>
      <c r="U35" s="35" t="inlineStr">
        <is>
          <t>LBS</t>
        </is>
      </c>
      <c r="V35" s="35" t="inlineStr">
        <is>
          <t>LBS</t>
        </is>
      </c>
      <c r="W35" s="35" t="inlineStr">
        <is>
          <t>LBS</t>
        </is>
      </c>
      <c r="X35" s="38" t="inlineStr"/>
      <c r="Z35" s="76">
        <f>IF(OR(INDEX(D$6:D$9,MATCH($B35,$C$6:$C$9,0))="OFF",IF(D35&lt;&gt;"",D35,IF(ISNUMBER(SEARCH("L",U35)),"ON","OFF"))="OFF"),0,IF(M35&lt;&gt;"",M35,R35))</f>
        <v>15000</v>
      </c>
      <c r="AA35" s="76">
        <f>IF(OR(INDEX(E$6:E$9,MATCH($B35,$C$6:$C$9,0))="OFF",IF(E35&lt;&gt;"",E35,IF(ISNUMBER(SEARCH("L",V35)),"ON","OFF"))="OFF"),0,IF(N35&lt;&gt;"",N35,S35))</f>
        <v>11000</v>
      </c>
      <c r="AB35" s="76">
        <f>IF(OR(INDEX(F$6:F$9,MATCH($B35,$C$6:$C$9,0))="OFF",IF(F35&lt;&gt;"",F35,IF(ISNUMBER(SEARCH("L",W35)),"ON","OFF"))="OFF"),0,IF(O35&lt;&gt;"",O35,T35))</f>
        <v>9000</v>
      </c>
      <c r="AC35" s="76">
        <f>IF(OR(INDEX(D$6:D$9,MATCH($B35,$C$6:$C$9,0))="OFF",IF(D35&lt;&gt;"",D35,IF(ISNUMBER(SEARCH("B",U35)),"ON","OFF"))="OFF"),0,IF(M35&lt;&gt;"",M35,R35))</f>
        <v>15000</v>
      </c>
      <c r="AD35" s="76">
        <f>IF(OR(INDEX(E$6:E$9,MATCH($B35,$C$6:$C$9,0))="OFF",IF(E35&lt;&gt;"",E35,IF(ISNUMBER(SEARCH("B",V35)),"ON","OFF"))="OFF"),0,IF(N35&lt;&gt;"",N35,S35))</f>
        <v>11000</v>
      </c>
      <c r="AE35" s="76">
        <f>IF(OR(INDEX(F$6:F$9,MATCH($B35,$C$6:$C$9,0))="OFF",IF(F35&lt;&gt;"",F35,IF(ISNUMBER(SEARCH("B",W35)),"ON","OFF"))="OFF"),0,IF(O35&lt;&gt;"",O35,T35))</f>
        <v>9000</v>
      </c>
      <c r="AF35" s="76">
        <f>IF(OR(INDEX(D$6:D$9,MATCH($B35,$C$6:$C$9,0))="OFF",IF(D35&lt;&gt;"",D35,IF(ISNUMBER(SEARCH("S",U35)),"ON","OFF"))="OFF"),0,IF(M35&lt;&gt;"",M35,R35))</f>
        <v>15000</v>
      </c>
      <c r="AG35" s="76">
        <f>IF(OR(INDEX(E$6:E$9,MATCH($B35,$C$6:$C$9,0))="OFF",IF(E35&lt;&gt;"",E35,IF(ISNUMBER(SEARCH("S",V35)),"ON","OFF"))="OFF"),0,IF(N35&lt;&gt;"",N35,S35))</f>
        <v>11000</v>
      </c>
      <c r="AH35" s="76">
        <f>IF(OR(INDEX(F$6:F$9,MATCH($B35,$C$6:$C$9,0))="OFF",IF(F35&lt;&gt;"",F35,IF(ISNUMBER(SEARCH("S",W35)),"ON","OFF"))="OFF"),0,IF(O35&lt;&gt;"",O35,T35))</f>
        <v>9000</v>
      </c>
    </row>
    <row r="36">
      <c r="A36" s="3" t="inlineStr">
        <is>
          <t>TEC-10</t>
        </is>
      </c>
      <c r="B36" s="8" t="inlineStr">
        <is>
          <t>Tech</t>
        </is>
      </c>
      <c r="C36" s="8" t="inlineStr">
        <is>
          <t>Point of sale and clienteling devices</t>
        </is>
      </c>
      <c r="D36" s="35" t="n"/>
      <c r="E36" s="35" t="n"/>
      <c r="F36" s="35" t="n"/>
      <c r="G36" s="75" t="str">
        <f>IF(INDEX(D$6:D$9,MATCH($B36,$C$6:$C$9,0))="OFF","OFF",IF(D36&lt;&gt;"",D36,IF(ISNUMBER(SEARCH(D$10,U36)),"ON","OFF")))</f>
        <v>ON</v>
      </c>
      <c r="H36" s="75" t="str">
        <f>IF(INDEX(E$6:E$9,MATCH($B36,$C$6:$C$9,0))="OFF","OFF",IF(E36&lt;&gt;"",E36,IF(ISNUMBER(SEARCH(E$10,V36)),"ON","OFF")))</f>
        <v>ON</v>
      </c>
      <c r="I36" s="75" t="str">
        <f>IF(INDEX(F$6:F$9,MATCH($B36,$C$6:$C$9,0))="OFF","OFF",IF(F36&lt;&gt;"",F36,IF(ISNUMBER(SEARCH(F$10,W36)),"ON","OFF")))</f>
        <v>ON</v>
      </c>
      <c r="J36" s="39">
        <f>IF(G36="OFF",0,IF(M36&lt;&gt;"",M36,R36))</f>
        <v>16000</v>
      </c>
      <c r="K36" s="39">
        <f>IF(H36="OFF",0,IF(N36&lt;&gt;"",N36,S36))</f>
        <v>10000</v>
      </c>
      <c r="L36" s="39">
        <f>IF(I36="OFF",0,IF(O36&lt;&gt;"",O36,T36))</f>
        <v>7000</v>
      </c>
      <c r="M36" s="54" t="n"/>
      <c r="N36" s="54" t="n"/>
      <c r="O36" s="54" t="n"/>
      <c r="P36" s="38" t="inlineStr">
        <is>
          <t>per store</t>
        </is>
      </c>
      <c r="Q36" s="38" t="inlineStr">
        <is>
          <t>Price breaks</t>
        </is>
      </c>
      <c r="R36" s="54" t="n">
        <v>16000</v>
      </c>
      <c r="S36" s="54" t="n">
        <v>10000</v>
      </c>
      <c r="T36" s="54" t="n">
        <v>7000</v>
      </c>
      <c r="U36" s="35" t="inlineStr">
        <is>
          <t>LBS</t>
        </is>
      </c>
      <c r="V36" s="35" t="inlineStr">
        <is>
          <t>LBS</t>
        </is>
      </c>
      <c r="W36" s="35" t="inlineStr">
        <is>
          <t>LBS</t>
        </is>
      </c>
      <c r="X36" s="38" t="inlineStr"/>
      <c r="Z36" s="76">
        <f>IF(OR(INDEX(D$6:D$9,MATCH($B36,$C$6:$C$9,0))="OFF",IF(D36&lt;&gt;"",D36,IF(ISNUMBER(SEARCH("L",U36)),"ON","OFF"))="OFF"),0,IF(M36&lt;&gt;"",M36,R36))</f>
        <v>16000</v>
      </c>
      <c r="AA36" s="76">
        <f>IF(OR(INDEX(E$6:E$9,MATCH($B36,$C$6:$C$9,0))="OFF",IF(E36&lt;&gt;"",E36,IF(ISNUMBER(SEARCH("L",V36)),"ON","OFF"))="OFF"),0,IF(N36&lt;&gt;"",N36,S36))</f>
        <v>10000</v>
      </c>
      <c r="AB36" s="76">
        <f>IF(OR(INDEX(F$6:F$9,MATCH($B36,$C$6:$C$9,0))="OFF",IF(F36&lt;&gt;"",F36,IF(ISNUMBER(SEARCH("L",W36)),"ON","OFF"))="OFF"),0,IF(O36&lt;&gt;"",O36,T36))</f>
        <v>7000</v>
      </c>
      <c r="AC36" s="76">
        <f>IF(OR(INDEX(D$6:D$9,MATCH($B36,$C$6:$C$9,0))="OFF",IF(D36&lt;&gt;"",D36,IF(ISNUMBER(SEARCH("B",U36)),"ON","OFF"))="OFF"),0,IF(M36&lt;&gt;"",M36,R36))</f>
        <v>16000</v>
      </c>
      <c r="AD36" s="76">
        <f>IF(OR(INDEX(E$6:E$9,MATCH($B36,$C$6:$C$9,0))="OFF",IF(E36&lt;&gt;"",E36,IF(ISNUMBER(SEARCH("B",V36)),"ON","OFF"))="OFF"),0,IF(N36&lt;&gt;"",N36,S36))</f>
        <v>10000</v>
      </c>
      <c r="AE36" s="76">
        <f>IF(OR(INDEX(F$6:F$9,MATCH($B36,$C$6:$C$9,0))="OFF",IF(F36&lt;&gt;"",F36,IF(ISNUMBER(SEARCH("B",W36)),"ON","OFF"))="OFF"),0,IF(O36&lt;&gt;"",O36,T36))</f>
        <v>7000</v>
      </c>
      <c r="AF36" s="76">
        <f>IF(OR(INDEX(D$6:D$9,MATCH($B36,$C$6:$C$9,0))="OFF",IF(D36&lt;&gt;"",D36,IF(ISNUMBER(SEARCH("S",U36)),"ON","OFF"))="OFF"),0,IF(M36&lt;&gt;"",M36,R36))</f>
        <v>16000</v>
      </c>
      <c r="AG36" s="76">
        <f>IF(OR(INDEX(E$6:E$9,MATCH($B36,$C$6:$C$9,0))="OFF",IF(E36&lt;&gt;"",E36,IF(ISNUMBER(SEARCH("S",V36)),"ON","OFF"))="OFF"),0,IF(N36&lt;&gt;"",N36,S36))</f>
        <v>10000</v>
      </c>
      <c r="AH36" s="76">
        <f>IF(OR(INDEX(F$6:F$9,MATCH($B36,$C$6:$C$9,0))="OFF",IF(F36&lt;&gt;"",F36,IF(ISNUMBER(SEARCH("S",W36)),"ON","OFF"))="OFF"),0,IF(O36&lt;&gt;"",O36,T36))</f>
        <v>7000</v>
      </c>
    </row>
    <row r="37">
      <c r="A37" s="3" t="inlineStr">
        <is>
          <t>TEC-11</t>
        </is>
      </c>
      <c r="B37" s="8" t="inlineStr">
        <is>
          <t>Tech</t>
        </is>
      </c>
      <c r="C37" s="8" t="inlineStr">
        <is>
          <t>Systems integration and commissioning</t>
        </is>
      </c>
      <c r="D37" s="35" t="n"/>
      <c r="E37" s="35" t="n"/>
      <c r="F37" s="35" t="n"/>
      <c r="G37" s="75" t="str">
        <f>IF(INDEX(D$6:D$9,MATCH($B37,$C$6:$C$9,0))="OFF","OFF",IF(D37&lt;&gt;"",D37,IF(ISNUMBER(SEARCH(D$10,U37)),"ON","OFF")))</f>
        <v>ON</v>
      </c>
      <c r="H37" s="75" t="str">
        <f>IF(INDEX(E$6:E$9,MATCH($B37,$C$6:$C$9,0))="OFF","OFF",IF(E37&lt;&gt;"",E37,IF(ISNUMBER(SEARCH(E$10,V37)),"ON","OFF")))</f>
        <v>ON</v>
      </c>
      <c r="I37" s="75" t="str">
        <f>IF(INDEX(F$6:F$9,MATCH($B37,$C$6:$C$9,0))="OFF","OFF",IF(F37&lt;&gt;"",F37,IF(ISNUMBER(SEARCH(F$10,W37)),"ON","OFF")))</f>
        <v>ON</v>
      </c>
      <c r="J37" s="39">
        <f>IF(G37="OFF",0,IF(M37&lt;&gt;"",M37,R37))</f>
        <v>66000</v>
      </c>
      <c r="K37" s="39">
        <f>IF(H37="OFF",0,IF(N37&lt;&gt;"",N37,S37))</f>
        <v>44000</v>
      </c>
      <c r="L37" s="39">
        <f>IF(I37="OFF",0,IF(O37&lt;&gt;"",O37,T37))</f>
        <v>28000</v>
      </c>
      <c r="M37" s="54" t="n"/>
      <c r="N37" s="54" t="n"/>
      <c r="O37" s="54" t="n"/>
      <c r="P37" s="38" t="inlineStr">
        <is>
          <t>per store</t>
        </is>
      </c>
      <c r="Q37" s="38" t="inlineStr">
        <is>
          <t>Learning</t>
        </is>
      </c>
      <c r="R37" s="54" t="n">
        <v>66000</v>
      </c>
      <c r="S37" s="54" t="n">
        <v>44000</v>
      </c>
      <c r="T37" s="54" t="n">
        <v>28000</v>
      </c>
      <c r="U37" s="35" t="inlineStr">
        <is>
          <t>LBS</t>
        </is>
      </c>
      <c r="V37" s="35" t="inlineStr">
        <is>
          <t>LBS</t>
        </is>
      </c>
      <c r="W37" s="35" t="inlineStr">
        <is>
          <t>LBS</t>
        </is>
      </c>
      <c r="X37" s="38" t="inlineStr">
        <is>
          <t>Mostly labour, so it rides the learning curve.</t>
        </is>
      </c>
      <c r="Z37" s="76">
        <f>IF(OR(INDEX(D$6:D$9,MATCH($B37,$C$6:$C$9,0))="OFF",IF(D37&lt;&gt;"",D37,IF(ISNUMBER(SEARCH("L",U37)),"ON","OFF"))="OFF"),0,IF(M37&lt;&gt;"",M37,R37))</f>
        <v>66000</v>
      </c>
      <c r="AA37" s="76">
        <f>IF(OR(INDEX(E$6:E$9,MATCH($B37,$C$6:$C$9,0))="OFF",IF(E37&lt;&gt;"",E37,IF(ISNUMBER(SEARCH("L",V37)),"ON","OFF"))="OFF"),0,IF(N37&lt;&gt;"",N37,S37))</f>
        <v>44000</v>
      </c>
      <c r="AB37" s="76">
        <f>IF(OR(INDEX(F$6:F$9,MATCH($B37,$C$6:$C$9,0))="OFF",IF(F37&lt;&gt;"",F37,IF(ISNUMBER(SEARCH("L",W37)),"ON","OFF"))="OFF"),0,IF(O37&lt;&gt;"",O37,T37))</f>
        <v>28000</v>
      </c>
      <c r="AC37" s="76">
        <f>IF(OR(INDEX(D$6:D$9,MATCH($B37,$C$6:$C$9,0))="OFF",IF(D37&lt;&gt;"",D37,IF(ISNUMBER(SEARCH("B",U37)),"ON","OFF"))="OFF"),0,IF(M37&lt;&gt;"",M37,R37))</f>
        <v>66000</v>
      </c>
      <c r="AD37" s="76">
        <f>IF(OR(INDEX(E$6:E$9,MATCH($B37,$C$6:$C$9,0))="OFF",IF(E37&lt;&gt;"",E37,IF(ISNUMBER(SEARCH("B",V37)),"ON","OFF"))="OFF"),0,IF(N37&lt;&gt;"",N37,S37))</f>
        <v>44000</v>
      </c>
      <c r="AE37" s="76">
        <f>IF(OR(INDEX(F$6:F$9,MATCH($B37,$C$6:$C$9,0))="OFF",IF(F37&lt;&gt;"",F37,IF(ISNUMBER(SEARCH("B",W37)),"ON","OFF"))="OFF"),0,IF(O37&lt;&gt;"",O37,T37))</f>
        <v>28000</v>
      </c>
      <c r="AF37" s="76">
        <f>IF(OR(INDEX(D$6:D$9,MATCH($B37,$C$6:$C$9,0))="OFF",IF(D37&lt;&gt;"",D37,IF(ISNUMBER(SEARCH("S",U37)),"ON","OFF"))="OFF"),0,IF(M37&lt;&gt;"",M37,R37))</f>
        <v>66000</v>
      </c>
      <c r="AG37" s="76">
        <f>IF(OR(INDEX(E$6:E$9,MATCH($B37,$C$6:$C$9,0))="OFF",IF(E37&lt;&gt;"",E37,IF(ISNUMBER(SEARCH("S",V37)),"ON","OFF"))="OFF"),0,IF(N37&lt;&gt;"",N37,S37))</f>
        <v>44000</v>
      </c>
      <c r="AH37" s="76">
        <f>IF(OR(INDEX(F$6:F$9,MATCH($B37,$C$6:$C$9,0))="OFF",IF(F37&lt;&gt;"",F37,IF(ISNUMBER(SEARCH("S",W37)),"ON","OFF"))="OFF"),0,IF(O37&lt;&gt;"",O37,T37))</f>
        <v>28000</v>
      </c>
    </row>
    <row r="38">
      <c r="A38" s="3" t="inlineStr">
        <is>
          <t>DES-01</t>
        </is>
      </c>
      <c r="B38" s="8" t="inlineStr">
        <is>
          <t>Design</t>
        </is>
      </c>
      <c r="C38" s="8" t="inlineStr">
        <is>
          <t>Local design adaptation and drawings</t>
        </is>
      </c>
      <c r="D38" s="35" t="n"/>
      <c r="E38" s="35" t="n"/>
      <c r="F38" s="35" t="n"/>
      <c r="G38" s="75" t="str">
        <f>IF(INDEX(D$6:D$9,MATCH($B38,$C$6:$C$9,0))="OFF","OFF",IF(D38&lt;&gt;"",D38,IF(ISNUMBER(SEARCH(D$10,U38)),"ON","OFF")))</f>
        <v>ON</v>
      </c>
      <c r="H38" s="75" t="str">
        <f>IF(INDEX(E$6:E$9,MATCH($B38,$C$6:$C$9,0))="OFF","OFF",IF(E38&lt;&gt;"",E38,IF(ISNUMBER(SEARCH(E$10,V38)),"ON","OFF")))</f>
        <v>ON</v>
      </c>
      <c r="I38" s="75" t="str">
        <f>IF(INDEX(F$6:F$9,MATCH($B38,$C$6:$C$9,0))="OFF","OFF",IF(F38&lt;&gt;"",F38,IF(ISNUMBER(SEARCH(F$10,W38)),"ON","OFF")))</f>
        <v>ON</v>
      </c>
      <c r="J38" s="39">
        <f>IF(G38="OFF",0,IF(M38&lt;&gt;"",M38,R38))</f>
        <v>36000</v>
      </c>
      <c r="K38" s="39">
        <f>IF(H38="OFF",0,IF(N38&lt;&gt;"",N38,S38))</f>
        <v>28000</v>
      </c>
      <c r="L38" s="39">
        <f>IF(I38="OFF",0,IF(O38&lt;&gt;"",O38,T38))</f>
        <v>18000</v>
      </c>
      <c r="M38" s="54" t="n"/>
      <c r="N38" s="54" t="n"/>
      <c r="O38" s="54" t="n"/>
      <c r="P38" s="38" t="inlineStr">
        <is>
          <t>per store</t>
        </is>
      </c>
      <c r="Q38" s="38" t="inlineStr">
        <is>
          <t>Learning</t>
        </is>
      </c>
      <c r="R38" s="54" t="n">
        <v>36000</v>
      </c>
      <c r="S38" s="54" t="n">
        <v>28000</v>
      </c>
      <c r="T38" s="54" t="n">
        <v>18000</v>
      </c>
      <c r="U38" s="35" t="inlineStr">
        <is>
          <t>LBS</t>
        </is>
      </c>
      <c r="V38" s="35" t="inlineStr">
        <is>
          <t>LBS</t>
        </is>
      </c>
      <c r="W38" s="35" t="inlineStr">
        <is>
          <t>LBS</t>
        </is>
      </c>
      <c r="X38" s="38" t="inlineStr">
        <is>
          <t>Fitting the format to each new site.</t>
        </is>
      </c>
      <c r="Z38" s="76">
        <f>IF(OR(INDEX(D$6:D$9,MATCH($B38,$C$6:$C$9,0))="OFF",IF(D38&lt;&gt;"",D38,IF(ISNUMBER(SEARCH("L",U38)),"ON","OFF"))="OFF"),0,IF(M38&lt;&gt;"",M38,R38))</f>
        <v>36000</v>
      </c>
      <c r="AA38" s="76">
        <f>IF(OR(INDEX(E$6:E$9,MATCH($B38,$C$6:$C$9,0))="OFF",IF(E38&lt;&gt;"",E38,IF(ISNUMBER(SEARCH("L",V38)),"ON","OFF"))="OFF"),0,IF(N38&lt;&gt;"",N38,S38))</f>
        <v>28000</v>
      </c>
      <c r="AB38" s="76">
        <f>IF(OR(INDEX(F$6:F$9,MATCH($B38,$C$6:$C$9,0))="OFF",IF(F38&lt;&gt;"",F38,IF(ISNUMBER(SEARCH("L",W38)),"ON","OFF"))="OFF"),0,IF(O38&lt;&gt;"",O38,T38))</f>
        <v>18000</v>
      </c>
      <c r="AC38" s="76">
        <f>IF(OR(INDEX(D$6:D$9,MATCH($B38,$C$6:$C$9,0))="OFF",IF(D38&lt;&gt;"",D38,IF(ISNUMBER(SEARCH("B",U38)),"ON","OFF"))="OFF"),0,IF(M38&lt;&gt;"",M38,R38))</f>
        <v>36000</v>
      </c>
      <c r="AD38" s="76">
        <f>IF(OR(INDEX(E$6:E$9,MATCH($B38,$C$6:$C$9,0))="OFF",IF(E38&lt;&gt;"",E38,IF(ISNUMBER(SEARCH("B",V38)),"ON","OFF"))="OFF"),0,IF(N38&lt;&gt;"",N38,S38))</f>
        <v>28000</v>
      </c>
      <c r="AE38" s="76">
        <f>IF(OR(INDEX(F$6:F$9,MATCH($B38,$C$6:$C$9,0))="OFF",IF(F38&lt;&gt;"",F38,IF(ISNUMBER(SEARCH("B",W38)),"ON","OFF"))="OFF"),0,IF(O38&lt;&gt;"",O38,T38))</f>
        <v>18000</v>
      </c>
      <c r="AF38" s="76">
        <f>IF(OR(INDEX(D$6:D$9,MATCH($B38,$C$6:$C$9,0))="OFF",IF(D38&lt;&gt;"",D38,IF(ISNUMBER(SEARCH("S",U38)),"ON","OFF"))="OFF"),0,IF(M38&lt;&gt;"",M38,R38))</f>
        <v>36000</v>
      </c>
      <c r="AG38" s="76">
        <f>IF(OR(INDEX(E$6:E$9,MATCH($B38,$C$6:$C$9,0))="OFF",IF(E38&lt;&gt;"",E38,IF(ISNUMBER(SEARCH("S",V38)),"ON","OFF"))="OFF"),0,IF(N38&lt;&gt;"",N38,S38))</f>
        <v>28000</v>
      </c>
      <c r="AH38" s="76">
        <f>IF(OR(INDEX(F$6:F$9,MATCH($B38,$C$6:$C$9,0))="OFF",IF(F38&lt;&gt;"",F38,IF(ISNUMBER(SEARCH("S",W38)),"ON","OFF"))="OFF"),0,IF(O38&lt;&gt;"",O38,T38))</f>
        <v>18000</v>
      </c>
    </row>
    <row r="39">
      <c r="A39" s="3" t="inlineStr">
        <is>
          <t>DES-02</t>
        </is>
      </c>
      <c r="B39" s="8" t="inlineStr">
        <is>
          <t>Design</t>
        </is>
      </c>
      <c r="C39" s="8" t="inlineStr">
        <is>
          <t>Opening content pack</t>
        </is>
      </c>
      <c r="D39" s="35" t="n"/>
      <c r="E39" s="35" t="n"/>
      <c r="F39" s="35" t="n"/>
      <c r="G39" s="75" t="str">
        <f>IF(INDEX(D$6:D$9,MATCH($B39,$C$6:$C$9,0))="OFF","OFF",IF(D39&lt;&gt;"",D39,IF(ISNUMBER(SEARCH(D$10,U39)),"ON","OFF")))</f>
        <v>ON</v>
      </c>
      <c r="H39" s="75" t="str">
        <f>IF(INDEX(E$6:E$9,MATCH($B39,$C$6:$C$9,0))="OFF","OFF",IF(E39&lt;&gt;"",E39,IF(ISNUMBER(SEARCH(E$10,V39)),"ON","OFF")))</f>
        <v>ON</v>
      </c>
      <c r="I39" s="75" t="str">
        <f>IF(INDEX(F$6:F$9,MATCH($B39,$C$6:$C$9,0))="OFF","OFF",IF(F39&lt;&gt;"",F39,IF(ISNUMBER(SEARCH(F$10,W39)),"ON","OFF")))</f>
        <v>ON</v>
      </c>
      <c r="J39" s="39">
        <f>IF(G39="OFF",0,IF(M39&lt;&gt;"",M39,R39))</f>
        <v>30000</v>
      </c>
      <c r="K39" s="39">
        <f>IF(H39="OFF",0,IF(N39&lt;&gt;"",N39,S39))</f>
        <v>16000</v>
      </c>
      <c r="L39" s="39">
        <f>IF(I39="OFF",0,IF(O39&lt;&gt;"",O39,T39))</f>
        <v>9000</v>
      </c>
      <c r="M39" s="54" t="n"/>
      <c r="N39" s="54" t="n"/>
      <c r="O39" s="54" t="n"/>
      <c r="P39" s="38" t="inlineStr">
        <is>
          <t>per store</t>
        </is>
      </c>
      <c r="Q39" s="38" t="inlineStr">
        <is>
          <t>Learning</t>
        </is>
      </c>
      <c r="R39" s="54" t="n">
        <v>30000</v>
      </c>
      <c r="S39" s="54" t="n">
        <v>16000</v>
      </c>
      <c r="T39" s="54" t="n">
        <v>9000</v>
      </c>
      <c r="U39" s="35" t="inlineStr">
        <is>
          <t>LBS</t>
        </is>
      </c>
      <c r="V39" s="35" t="inlineStr">
        <is>
          <t>BS</t>
        </is>
      </c>
      <c r="W39" s="35" t="inlineStr">
        <is>
          <t>BS</t>
        </is>
      </c>
      <c r="X39" s="38" t="inlineStr">
        <is>
          <t>Launch content for the store's screens.</t>
        </is>
      </c>
      <c r="Z39" s="76">
        <f>IF(OR(INDEX(D$6:D$9,MATCH($B39,$C$6:$C$9,0))="OFF",IF(D39&lt;&gt;"",D39,IF(ISNUMBER(SEARCH("L",U39)),"ON","OFF"))="OFF"),0,IF(M39&lt;&gt;"",M39,R39))</f>
        <v>30000</v>
      </c>
      <c r="AA39" s="76">
        <f>IF(OR(INDEX(E$6:E$9,MATCH($B39,$C$6:$C$9,0))="OFF",IF(E39&lt;&gt;"",E39,IF(ISNUMBER(SEARCH("L",V39)),"ON","OFF"))="OFF"),0,IF(N39&lt;&gt;"",N39,S39))</f>
        <v>0</v>
      </c>
      <c r="AB39" s="76">
        <f>IF(OR(INDEX(F$6:F$9,MATCH($B39,$C$6:$C$9,0))="OFF",IF(F39&lt;&gt;"",F39,IF(ISNUMBER(SEARCH("L",W39)),"ON","OFF"))="OFF"),0,IF(O39&lt;&gt;"",O39,T39))</f>
        <v>0</v>
      </c>
      <c r="AC39" s="76">
        <f>IF(OR(INDEX(D$6:D$9,MATCH($B39,$C$6:$C$9,0))="OFF",IF(D39&lt;&gt;"",D39,IF(ISNUMBER(SEARCH("B",U39)),"ON","OFF"))="OFF"),0,IF(M39&lt;&gt;"",M39,R39))</f>
        <v>30000</v>
      </c>
      <c r="AD39" s="76">
        <f>IF(OR(INDEX(E$6:E$9,MATCH($B39,$C$6:$C$9,0))="OFF",IF(E39&lt;&gt;"",E39,IF(ISNUMBER(SEARCH("B",V39)),"ON","OFF"))="OFF"),0,IF(N39&lt;&gt;"",N39,S39))</f>
        <v>16000</v>
      </c>
      <c r="AE39" s="76">
        <f>IF(OR(INDEX(F$6:F$9,MATCH($B39,$C$6:$C$9,0))="OFF",IF(F39&lt;&gt;"",F39,IF(ISNUMBER(SEARCH("B",W39)),"ON","OFF"))="OFF"),0,IF(O39&lt;&gt;"",O39,T39))</f>
        <v>9000</v>
      </c>
      <c r="AF39" s="76">
        <f>IF(OR(INDEX(D$6:D$9,MATCH($B39,$C$6:$C$9,0))="OFF",IF(D39&lt;&gt;"",D39,IF(ISNUMBER(SEARCH("S",U39)),"ON","OFF"))="OFF"),0,IF(M39&lt;&gt;"",M39,R39))</f>
        <v>30000</v>
      </c>
      <c r="AG39" s="76">
        <f>IF(OR(INDEX(E$6:E$9,MATCH($B39,$C$6:$C$9,0))="OFF",IF(E39&lt;&gt;"",E39,IF(ISNUMBER(SEARCH("S",V39)),"ON","OFF"))="OFF"),0,IF(N39&lt;&gt;"",N39,S39))</f>
        <v>16000</v>
      </c>
      <c r="AH39" s="76">
        <f>IF(OR(INDEX(F$6:F$9,MATCH($B39,$C$6:$C$9,0))="OFF",IF(F39&lt;&gt;"",F39,IF(ISNUMBER(SEARCH("S",W39)),"ON","OFF"))="OFF"),0,IF(O39&lt;&gt;"",O39,T39))</f>
        <v>9000</v>
      </c>
    </row>
    <row r="40">
      <c r="A40" s="3" t="inlineStr">
        <is>
          <t>BIZ-01</t>
        </is>
      </c>
      <c r="B40" s="8" t="inlineStr">
        <is>
          <t>Business</t>
        </is>
      </c>
      <c r="C40" s="8" t="inlineStr">
        <is>
          <t>Permits, surveys and landlord fees</t>
        </is>
      </c>
      <c r="D40" s="35" t="n"/>
      <c r="E40" s="35" t="n"/>
      <c r="F40" s="35" t="n"/>
      <c r="G40" s="75" t="str">
        <f>IF(INDEX(D$6:D$9,MATCH($B40,$C$6:$C$9,0))="OFF","OFF",IF(D40&lt;&gt;"",D40,IF(ISNUMBER(SEARCH(D$10,U40)),"ON","OFF")))</f>
        <v>ON</v>
      </c>
      <c r="H40" s="75" t="str">
        <f>IF(INDEX(E$6:E$9,MATCH($B40,$C$6:$C$9,0))="OFF","OFF",IF(E40&lt;&gt;"",E40,IF(ISNUMBER(SEARCH(E$10,V40)),"ON","OFF")))</f>
        <v>ON</v>
      </c>
      <c r="I40" s="75" t="str">
        <f>IF(INDEX(F$6:F$9,MATCH($B40,$C$6:$C$9,0))="OFF","OFF",IF(F40&lt;&gt;"",F40,IF(ISNUMBER(SEARCH(F$10,W40)),"ON","OFF")))</f>
        <v>ON</v>
      </c>
      <c r="J40" s="39">
        <f>IF(G40="OFF",0,IF(M40&lt;&gt;"",M40,R40))</f>
        <v>24000</v>
      </c>
      <c r="K40" s="39">
        <f>IF(H40="OFF",0,IF(N40&lt;&gt;"",N40,S40))</f>
        <v>16000</v>
      </c>
      <c r="L40" s="39">
        <f>IF(I40="OFF",0,IF(O40&lt;&gt;"",O40,T40))</f>
        <v>13000</v>
      </c>
      <c r="M40" s="54" t="n"/>
      <c r="N40" s="54" t="n"/>
      <c r="O40" s="54" t="n"/>
      <c r="P40" s="38" t="inlineStr">
        <is>
          <t>per store</t>
        </is>
      </c>
      <c r="Q40" s="38" t="inlineStr">
        <is>
          <t>No scale effect</t>
        </is>
      </c>
      <c r="R40" s="54" t="n">
        <v>24000</v>
      </c>
      <c r="S40" s="54" t="n">
        <v>16000</v>
      </c>
      <c r="T40" s="54" t="n">
        <v>13000</v>
      </c>
      <c r="U40" s="35" t="inlineStr">
        <is>
          <t>LBS</t>
        </is>
      </c>
      <c r="V40" s="35" t="inlineStr">
        <is>
          <t>LBS</t>
        </is>
      </c>
      <c r="W40" s="35" t="inlineStr">
        <is>
          <t>LBS</t>
        </is>
      </c>
      <c r="X40" s="38" t="inlineStr"/>
      <c r="Z40" s="76">
        <f>IF(OR(INDEX(D$6:D$9,MATCH($B40,$C$6:$C$9,0))="OFF",IF(D40&lt;&gt;"",D40,IF(ISNUMBER(SEARCH("L",U40)),"ON","OFF"))="OFF"),0,IF(M40&lt;&gt;"",M40,R40))</f>
        <v>24000</v>
      </c>
      <c r="AA40" s="76">
        <f>IF(OR(INDEX(E$6:E$9,MATCH($B40,$C$6:$C$9,0))="OFF",IF(E40&lt;&gt;"",E40,IF(ISNUMBER(SEARCH("L",V40)),"ON","OFF"))="OFF"),0,IF(N40&lt;&gt;"",N40,S40))</f>
        <v>16000</v>
      </c>
      <c r="AB40" s="76">
        <f>IF(OR(INDEX(F$6:F$9,MATCH($B40,$C$6:$C$9,0))="OFF",IF(F40&lt;&gt;"",F40,IF(ISNUMBER(SEARCH("L",W40)),"ON","OFF"))="OFF"),0,IF(O40&lt;&gt;"",O40,T40))</f>
        <v>13000</v>
      </c>
      <c r="AC40" s="76">
        <f>IF(OR(INDEX(D$6:D$9,MATCH($B40,$C$6:$C$9,0))="OFF",IF(D40&lt;&gt;"",D40,IF(ISNUMBER(SEARCH("B",U40)),"ON","OFF"))="OFF"),0,IF(M40&lt;&gt;"",M40,R40))</f>
        <v>24000</v>
      </c>
      <c r="AD40" s="76">
        <f>IF(OR(INDEX(E$6:E$9,MATCH($B40,$C$6:$C$9,0))="OFF",IF(E40&lt;&gt;"",E40,IF(ISNUMBER(SEARCH("B",V40)),"ON","OFF"))="OFF"),0,IF(N40&lt;&gt;"",N40,S40))</f>
        <v>16000</v>
      </c>
      <c r="AE40" s="76">
        <f>IF(OR(INDEX(F$6:F$9,MATCH($B40,$C$6:$C$9,0))="OFF",IF(F40&lt;&gt;"",F40,IF(ISNUMBER(SEARCH("B",W40)),"ON","OFF"))="OFF"),0,IF(O40&lt;&gt;"",O40,T40))</f>
        <v>13000</v>
      </c>
      <c r="AF40" s="76">
        <f>IF(OR(INDEX(D$6:D$9,MATCH($B40,$C$6:$C$9,0))="OFF",IF(D40&lt;&gt;"",D40,IF(ISNUMBER(SEARCH("S",U40)),"ON","OFF"))="OFF"),0,IF(M40&lt;&gt;"",M40,R40))</f>
        <v>24000</v>
      </c>
      <c r="AG40" s="76">
        <f>IF(OR(INDEX(E$6:E$9,MATCH($B40,$C$6:$C$9,0))="OFF",IF(E40&lt;&gt;"",E40,IF(ISNUMBER(SEARCH("S",V40)),"ON","OFF"))="OFF"),0,IF(N40&lt;&gt;"",N40,S40))</f>
        <v>16000</v>
      </c>
      <c r="AH40" s="76">
        <f>IF(OR(INDEX(F$6:F$9,MATCH($B40,$C$6:$C$9,0))="OFF",IF(F40&lt;&gt;"",F40,IF(ISNUMBER(SEARCH("S",W40)),"ON","OFF"))="OFF"),0,IF(O40&lt;&gt;"",O40,T40))</f>
        <v>13000</v>
      </c>
    </row>
    <row r="41">
      <c r="A41" s="3" t="inlineStr">
        <is>
          <t>BIZ-02</t>
        </is>
      </c>
      <c r="B41" s="8" t="inlineStr">
        <is>
          <t>Business</t>
        </is>
      </c>
      <c r="C41" s="8" t="inlineStr">
        <is>
          <t>Hiring and training before opening</t>
        </is>
      </c>
      <c r="D41" s="35" t="n"/>
      <c r="E41" s="35" t="n"/>
      <c r="F41" s="35" t="n"/>
      <c r="G41" s="75" t="str">
        <f>IF(INDEX(D$6:D$9,MATCH($B41,$C$6:$C$9,0))="OFF","OFF",IF(D41&lt;&gt;"",D41,IF(ISNUMBER(SEARCH(D$10,U41)),"ON","OFF")))</f>
        <v>ON</v>
      </c>
      <c r="H41" s="75" t="str">
        <f>IF(INDEX(E$6:E$9,MATCH($B41,$C$6:$C$9,0))="OFF","OFF",IF(E41&lt;&gt;"",E41,IF(ISNUMBER(SEARCH(E$10,V41)),"ON","OFF")))</f>
        <v>ON</v>
      </c>
      <c r="I41" s="75" t="str">
        <f>IF(INDEX(F$6:F$9,MATCH($B41,$C$6:$C$9,0))="OFF","OFF",IF(F41&lt;&gt;"",F41,IF(ISNUMBER(SEARCH(F$10,W41)),"ON","OFF")))</f>
        <v>ON</v>
      </c>
      <c r="J41" s="39">
        <f>IF(G41="OFF",0,IF(M41&lt;&gt;"",M41,R41))</f>
        <v>44000</v>
      </c>
      <c r="K41" s="39">
        <f>IF(H41="OFF",0,IF(N41&lt;&gt;"",N41,S41))</f>
        <v>30000</v>
      </c>
      <c r="L41" s="39">
        <f>IF(I41="OFF",0,IF(O41&lt;&gt;"",O41,T41))</f>
        <v>16000</v>
      </c>
      <c r="M41" s="54" t="n"/>
      <c r="N41" s="54" t="n"/>
      <c r="O41" s="54" t="n"/>
      <c r="P41" s="38" t="inlineStr">
        <is>
          <t>per store</t>
        </is>
      </c>
      <c r="Q41" s="38" t="inlineStr">
        <is>
          <t>Learning</t>
        </is>
      </c>
      <c r="R41" s="54" t="n">
        <v>44000</v>
      </c>
      <c r="S41" s="54" t="n">
        <v>30000</v>
      </c>
      <c r="T41" s="54" t="n">
        <v>16000</v>
      </c>
      <c r="U41" s="35" t="inlineStr">
        <is>
          <t>LBS</t>
        </is>
      </c>
      <c r="V41" s="35" t="inlineStr">
        <is>
          <t>LBS</t>
        </is>
      </c>
      <c r="W41" s="35" t="inlineStr">
        <is>
          <t>LBS</t>
        </is>
      </c>
      <c r="X41" s="38" t="inlineStr"/>
      <c r="Z41" s="76">
        <f>IF(OR(INDEX(D$6:D$9,MATCH($B41,$C$6:$C$9,0))="OFF",IF(D41&lt;&gt;"",D41,IF(ISNUMBER(SEARCH("L",U41)),"ON","OFF"))="OFF"),0,IF(M41&lt;&gt;"",M41,R41))</f>
        <v>44000</v>
      </c>
      <c r="AA41" s="76">
        <f>IF(OR(INDEX(E$6:E$9,MATCH($B41,$C$6:$C$9,0))="OFF",IF(E41&lt;&gt;"",E41,IF(ISNUMBER(SEARCH("L",V41)),"ON","OFF"))="OFF"),0,IF(N41&lt;&gt;"",N41,S41))</f>
        <v>30000</v>
      </c>
      <c r="AB41" s="76">
        <f>IF(OR(INDEX(F$6:F$9,MATCH($B41,$C$6:$C$9,0))="OFF",IF(F41&lt;&gt;"",F41,IF(ISNUMBER(SEARCH("L",W41)),"ON","OFF"))="OFF"),0,IF(O41&lt;&gt;"",O41,T41))</f>
        <v>16000</v>
      </c>
      <c r="AC41" s="76">
        <f>IF(OR(INDEX(D$6:D$9,MATCH($B41,$C$6:$C$9,0))="OFF",IF(D41&lt;&gt;"",D41,IF(ISNUMBER(SEARCH("B",U41)),"ON","OFF"))="OFF"),0,IF(M41&lt;&gt;"",M41,R41))</f>
        <v>44000</v>
      </c>
      <c r="AD41" s="76">
        <f>IF(OR(INDEX(E$6:E$9,MATCH($B41,$C$6:$C$9,0))="OFF",IF(E41&lt;&gt;"",E41,IF(ISNUMBER(SEARCH("B",V41)),"ON","OFF"))="OFF"),0,IF(N41&lt;&gt;"",N41,S41))</f>
        <v>30000</v>
      </c>
      <c r="AE41" s="76">
        <f>IF(OR(INDEX(F$6:F$9,MATCH($B41,$C$6:$C$9,0))="OFF",IF(F41&lt;&gt;"",F41,IF(ISNUMBER(SEARCH("B",W41)),"ON","OFF"))="OFF"),0,IF(O41&lt;&gt;"",O41,T41))</f>
        <v>16000</v>
      </c>
      <c r="AF41" s="76">
        <f>IF(OR(INDEX(D$6:D$9,MATCH($B41,$C$6:$C$9,0))="OFF",IF(D41&lt;&gt;"",D41,IF(ISNUMBER(SEARCH("S",U41)),"ON","OFF"))="OFF"),0,IF(M41&lt;&gt;"",M41,R41))</f>
        <v>44000</v>
      </c>
      <c r="AG41" s="76">
        <f>IF(OR(INDEX(E$6:E$9,MATCH($B41,$C$6:$C$9,0))="OFF",IF(E41&lt;&gt;"",E41,IF(ISNUMBER(SEARCH("S",V41)),"ON","OFF"))="OFF"),0,IF(N41&lt;&gt;"",N41,S41))</f>
        <v>30000</v>
      </c>
      <c r="AH41" s="76">
        <f>IF(OR(INDEX(F$6:F$9,MATCH($B41,$C$6:$C$9,0))="OFF",IF(F41&lt;&gt;"",F41,IF(ISNUMBER(SEARCH("S",W41)),"ON","OFF"))="OFF"),0,IF(O41&lt;&gt;"",O41,T41))</f>
        <v>16000</v>
      </c>
    </row>
    <row r="42">
      <c r="A42" s="3" t="inlineStr">
        <is>
          <t>BIZ-03</t>
        </is>
      </c>
      <c r="B42" s="8" t="inlineStr">
        <is>
          <t>Business</t>
        </is>
      </c>
      <c r="C42" s="8" t="inlineStr">
        <is>
          <t>Opening campaign and launch event</t>
        </is>
      </c>
      <c r="D42" s="35" t="n"/>
      <c r="E42" s="35" t="n"/>
      <c r="F42" s="35" t="n"/>
      <c r="G42" s="75" t="str">
        <f>IF(INDEX(D$6:D$9,MATCH($B42,$C$6:$C$9,0))="OFF","OFF",IF(D42&lt;&gt;"",D42,IF(ISNUMBER(SEARCH(D$10,U42)),"ON","OFF")))</f>
        <v>ON</v>
      </c>
      <c r="H42" s="75" t="str">
        <f>IF(INDEX(E$6:E$9,MATCH($B42,$C$6:$C$9,0))="OFF","OFF",IF(E42&lt;&gt;"",E42,IF(ISNUMBER(SEARCH(E$10,V42)),"ON","OFF")))</f>
        <v>ON</v>
      </c>
      <c r="I42" s="75" t="str">
        <f>IF(INDEX(F$6:F$9,MATCH($B42,$C$6:$C$9,0))="OFF","OFF",IF(F42&lt;&gt;"",F42,IF(ISNUMBER(SEARCH(F$10,W42)),"ON","OFF")))</f>
        <v>ON</v>
      </c>
      <c r="J42" s="39">
        <f>IF(G42="OFF",0,IF(M42&lt;&gt;"",M42,R42))</f>
        <v>70000</v>
      </c>
      <c r="K42" s="39">
        <f>IF(H42="OFF",0,IF(N42&lt;&gt;"",N42,S42))</f>
        <v>34000</v>
      </c>
      <c r="L42" s="39">
        <f>IF(I42="OFF",0,IF(O42&lt;&gt;"",O42,T42))</f>
        <v>18000</v>
      </c>
      <c r="M42" s="54" t="n"/>
      <c r="N42" s="54" t="n"/>
      <c r="O42" s="54" t="n"/>
      <c r="P42" s="38" t="inlineStr">
        <is>
          <t>per store</t>
        </is>
      </c>
      <c r="Q42" s="38" t="inlineStr">
        <is>
          <t>No scale effect</t>
        </is>
      </c>
      <c r="R42" s="54" t="n">
        <v>70000</v>
      </c>
      <c r="S42" s="54" t="n">
        <v>34000</v>
      </c>
      <c r="T42" s="54" t="n">
        <v>18000</v>
      </c>
      <c r="U42" s="35" t="inlineStr">
        <is>
          <t>LBS</t>
        </is>
      </c>
      <c r="V42" s="35" t="inlineStr">
        <is>
          <t>BS</t>
        </is>
      </c>
      <c r="W42" s="35" t="inlineStr">
        <is>
          <t>BS</t>
        </is>
      </c>
      <c r="X42" s="38" t="inlineStr"/>
      <c r="Z42" s="76">
        <f>IF(OR(INDEX(D$6:D$9,MATCH($B42,$C$6:$C$9,0))="OFF",IF(D42&lt;&gt;"",D42,IF(ISNUMBER(SEARCH("L",U42)),"ON","OFF"))="OFF"),0,IF(M42&lt;&gt;"",M42,R42))</f>
        <v>70000</v>
      </c>
      <c r="AA42" s="76">
        <f>IF(OR(INDEX(E$6:E$9,MATCH($B42,$C$6:$C$9,0))="OFF",IF(E42&lt;&gt;"",E42,IF(ISNUMBER(SEARCH("L",V42)),"ON","OFF"))="OFF"),0,IF(N42&lt;&gt;"",N42,S42))</f>
        <v>0</v>
      </c>
      <c r="AB42" s="76">
        <f>IF(OR(INDEX(F$6:F$9,MATCH($B42,$C$6:$C$9,0))="OFF",IF(F42&lt;&gt;"",F42,IF(ISNUMBER(SEARCH("L",W42)),"ON","OFF"))="OFF"),0,IF(O42&lt;&gt;"",O42,T42))</f>
        <v>0</v>
      </c>
      <c r="AC42" s="76">
        <f>IF(OR(INDEX(D$6:D$9,MATCH($B42,$C$6:$C$9,0))="OFF",IF(D42&lt;&gt;"",D42,IF(ISNUMBER(SEARCH("B",U42)),"ON","OFF"))="OFF"),0,IF(M42&lt;&gt;"",M42,R42))</f>
        <v>70000</v>
      </c>
      <c r="AD42" s="76">
        <f>IF(OR(INDEX(E$6:E$9,MATCH($B42,$C$6:$C$9,0))="OFF",IF(E42&lt;&gt;"",E42,IF(ISNUMBER(SEARCH("B",V42)),"ON","OFF"))="OFF"),0,IF(N42&lt;&gt;"",N42,S42))</f>
        <v>34000</v>
      </c>
      <c r="AE42" s="76">
        <f>IF(OR(INDEX(F$6:F$9,MATCH($B42,$C$6:$C$9,0))="OFF",IF(F42&lt;&gt;"",F42,IF(ISNUMBER(SEARCH("B",W42)),"ON","OFF"))="OFF"),0,IF(O42&lt;&gt;"",O42,T42))</f>
        <v>18000</v>
      </c>
      <c r="AF42" s="76">
        <f>IF(OR(INDEX(D$6:D$9,MATCH($B42,$C$6:$C$9,0))="OFF",IF(D42&lt;&gt;"",D42,IF(ISNUMBER(SEARCH("S",U42)),"ON","OFF"))="OFF"),0,IF(M42&lt;&gt;"",M42,R42))</f>
        <v>70000</v>
      </c>
      <c r="AG42" s="76">
        <f>IF(OR(INDEX(E$6:E$9,MATCH($B42,$C$6:$C$9,0))="OFF",IF(E42&lt;&gt;"",E42,IF(ISNUMBER(SEARCH("S",V42)),"ON","OFF"))="OFF"),0,IF(N42&lt;&gt;"",N42,S42))</f>
        <v>34000</v>
      </c>
      <c r="AH42" s="76">
        <f>IF(OR(INDEX(F$6:F$9,MATCH($B42,$C$6:$C$9,0))="OFF",IF(F42&lt;&gt;"",F42,IF(ISNUMBER(SEARCH("S",W42)),"ON","OFF"))="OFF"),0,IF(O42&lt;&gt;"",O42,T42))</f>
        <v>18000</v>
      </c>
    </row>
    <row r="43">
      <c r="C43" s="9" t="inlineStr">
        <is>
          <t>Build + Tech subtotal (base for project management and contingency)</t>
        </is>
      </c>
      <c r="J43" s="77">
        <f>SUMIFS(J$16:J$42,$B$16:$B$42,"Build")+SUMIFS(J$16:J$42,$B$16:$B$42,"Tech")</f>
        <v>1054200</v>
      </c>
      <c r="K43" s="77">
        <f>SUMIFS(K$16:K$42,$B$16:$B$42,"Build")+SUMIFS(K$16:K$42,$B$16:$B$42,"Tech")</f>
        <v>587500</v>
      </c>
      <c r="L43" s="77">
        <f>SUMIFS(L$16:L$42,$B$16:$B$42,"Build")+SUMIFS(L$16:L$42,$B$16:$B$42,"Tech")</f>
        <v>329600</v>
      </c>
      <c r="Z43" s="76">
        <f>SUMIFS(Z$16:Z$42,$B$16:$B$42,"Build")+SUMIFS(Z$16:Z$42,$B$16:$B$42,"Tech")</f>
        <v>851000</v>
      </c>
      <c r="AA43" s="76">
        <f>SUMIFS(AA$16:AA$42,$B$16:$B$42,"Build")+SUMIFS(AA$16:AA$42,$B$16:$B$42,"Tech")</f>
        <v>465300</v>
      </c>
      <c r="AB43" s="76">
        <f>SUMIFS(AB$16:AB$42,$B$16:$B$42,"Build")+SUMIFS(AB$16:AB$42,$B$16:$B$42,"Tech")</f>
        <v>284300</v>
      </c>
      <c r="AC43" s="76">
        <f>SUMIFS(AC$16:AC$42,$B$16:$B$42,"Build")+SUMIFS(AC$16:AC$42,$B$16:$B$42,"Tech")</f>
        <v>1054200</v>
      </c>
      <c r="AD43" s="76">
        <f>SUMIFS(AD$16:AD$42,$B$16:$B$42,"Build")+SUMIFS(AD$16:AD$42,$B$16:$B$42,"Tech")</f>
        <v>587500</v>
      </c>
      <c r="AE43" s="76">
        <f>SUMIFS(AE$16:AE$42,$B$16:$B$42,"Build")+SUMIFS(AE$16:AE$42,$B$16:$B$42,"Tech")</f>
        <v>329600</v>
      </c>
      <c r="AF43" s="76">
        <f>SUMIFS(AF$16:AF$42,$B$16:$B$42,"Build")+SUMIFS(AF$16:AF$42,$B$16:$B$42,"Tech")</f>
        <v>1365400</v>
      </c>
      <c r="AG43" s="76">
        <f>SUMIFS(AG$16:AG$42,$B$16:$B$42,"Build")+SUMIFS(AG$16:AG$42,$B$16:$B$42,"Tech")</f>
        <v>741900</v>
      </c>
      <c r="AH43" s="76">
        <f>SUMIFS(AH$16:AH$42,$B$16:$B$42,"Build")+SUMIFS(AH$16:AH$42,$B$16:$B$42,"Tech")</f>
        <v>389100</v>
      </c>
    </row>
    <row r="44">
      <c r="A44" s="3" t="inlineStr">
        <is>
          <t>BIZ-04</t>
        </is>
      </c>
      <c r="B44" s="8" t="inlineStr">
        <is>
          <t>Business</t>
        </is>
      </c>
      <c r="C44" s="8" t="inlineStr">
        <is>
          <t>Project management (share of build + tech)</t>
        </is>
      </c>
      <c r="D44" s="35" t="n"/>
      <c r="E44" s="35" t="n"/>
      <c r="F44" s="35" t="n"/>
      <c r="G44" s="75" t="str">
        <f>IF(INDEX(D$6:D$9,MATCH($B44,$C$6:$C$9,0))="OFF","OFF",IF(D44&lt;&gt;"",D44,IF(ISNUMBER(SEARCH(D$10,U44)),"ON","OFF")))</f>
        <v>ON</v>
      </c>
      <c r="H44" s="75" t="str">
        <f>IF(INDEX(E$6:E$9,MATCH($B44,$C$6:$C$9,0))="OFF","OFF",IF(E44&lt;&gt;"",E44,IF(ISNUMBER(SEARCH(E$10,V44)),"ON","OFF")))</f>
        <v>ON</v>
      </c>
      <c r="I44" s="75" t="str">
        <f>IF(INDEX(F$6:F$9,MATCH($B44,$C$6:$C$9,0))="OFF","OFF",IF(F44&lt;&gt;"",F44,IF(ISNUMBER(SEARCH(F$10,W44)),"ON","OFF")))</f>
        <v>ON</v>
      </c>
      <c r="J44" s="39">
        <f>IF(G44="OFF",0,IF(M44&lt;&gt;"",M44,R44*J$43))</f>
        <v>73794</v>
      </c>
      <c r="K44" s="39">
        <f>IF(H44="OFF",0,IF(N44&lt;&gt;"",N44,S44*K$43))</f>
        <v>41125</v>
      </c>
      <c r="L44" s="39">
        <f>IF(I44="OFF",0,IF(O44&lt;&gt;"",O44,T44*L$43))</f>
        <v>23072</v>
      </c>
      <c r="M44" s="54" t="n"/>
      <c r="N44" s="54" t="n"/>
      <c r="O44" s="54" t="n"/>
      <c r="P44" s="38" t="inlineStr">
        <is>
          <t>% of build + tech</t>
        </is>
      </c>
      <c r="Q44" s="38" t="inlineStr">
        <is>
          <t>Learning</t>
        </is>
      </c>
      <c r="R44" s="42" t="n">
        <v>0.07000000000000001</v>
      </c>
      <c r="S44" s="42" t="n">
        <v>0.07000000000000001</v>
      </c>
      <c r="T44" s="42" t="n">
        <v>0.07000000000000001</v>
      </c>
      <c r="U44" s="35" t="inlineStr">
        <is>
          <t>LBS</t>
        </is>
      </c>
      <c r="V44" s="35" t="inlineStr">
        <is>
          <t>LBS</t>
        </is>
      </c>
      <c r="W44" s="35" t="inlineStr">
        <is>
          <t>LBS</t>
        </is>
      </c>
      <c r="X44" s="38" t="inlineStr">
        <is>
          <t>Calculated on the live Build and Tech lines above.</t>
        </is>
      </c>
      <c r="Z44" s="76">
        <f>IF(OR(INDEX(D$6:D$9,MATCH($B44,$C$6:$C$9,0))="OFF",IF(D44&lt;&gt;"",D44,IF(ISNUMBER(SEARCH("L",U44)),"ON","OFF"))="OFF"),0,IF(M44&lt;&gt;"",M44,R44*Z$43))</f>
        <v>59570</v>
      </c>
      <c r="AA44" s="76">
        <f>IF(OR(INDEX(E$6:E$9,MATCH($B44,$C$6:$C$9,0))="OFF",IF(E44&lt;&gt;"",E44,IF(ISNUMBER(SEARCH("L",V44)),"ON","OFF"))="OFF"),0,IF(N44&lt;&gt;"",N44,S44*AA$43))</f>
        <v>32571</v>
      </c>
      <c r="AB44" s="76">
        <f>IF(OR(INDEX(F$6:F$9,MATCH($B44,$C$6:$C$9,0))="OFF",IF(F44&lt;&gt;"",F44,IF(ISNUMBER(SEARCH("L",W44)),"ON","OFF"))="OFF"),0,IF(O44&lt;&gt;"",O44,T44*AB$43))</f>
        <v>19901</v>
      </c>
      <c r="AC44" s="76">
        <f>IF(OR(INDEX(D$6:D$9,MATCH($B44,$C$6:$C$9,0))="OFF",IF(D44&lt;&gt;"",D44,IF(ISNUMBER(SEARCH("B",U44)),"ON","OFF"))="OFF"),0,IF(M44&lt;&gt;"",M44,R44*AC$43))</f>
        <v>73794</v>
      </c>
      <c r="AD44" s="76">
        <f>IF(OR(INDEX(E$6:E$9,MATCH($B44,$C$6:$C$9,0))="OFF",IF(E44&lt;&gt;"",E44,IF(ISNUMBER(SEARCH("B",V44)),"ON","OFF"))="OFF"),0,IF(N44&lt;&gt;"",N44,S44*AD$43))</f>
        <v>41125</v>
      </c>
      <c r="AE44" s="76">
        <f>IF(OR(INDEX(F$6:F$9,MATCH($B44,$C$6:$C$9,0))="OFF",IF(F44&lt;&gt;"",F44,IF(ISNUMBER(SEARCH("B",W44)),"ON","OFF"))="OFF"),0,IF(O44&lt;&gt;"",O44,T44*AE$43))</f>
        <v>23072</v>
      </c>
      <c r="AF44" s="76">
        <f>IF(OR(INDEX(D$6:D$9,MATCH($B44,$C$6:$C$9,0))="OFF",IF(D44&lt;&gt;"",D44,IF(ISNUMBER(SEARCH("S",U44)),"ON","OFF"))="OFF"),0,IF(M44&lt;&gt;"",M44,R44*AF$43))</f>
        <v>95578</v>
      </c>
      <c r="AG44" s="76">
        <f>IF(OR(INDEX(E$6:E$9,MATCH($B44,$C$6:$C$9,0))="OFF",IF(E44&lt;&gt;"",E44,IF(ISNUMBER(SEARCH("S",V44)),"ON","OFF"))="OFF"),0,IF(N44&lt;&gt;"",N44,S44*AG$43))</f>
        <v>51933</v>
      </c>
      <c r="AH44" s="76">
        <f>IF(OR(INDEX(F$6:F$9,MATCH($B44,$C$6:$C$9,0))="OFF",IF(F44&lt;&gt;"",F44,IF(ISNUMBER(SEARCH("S",W44)),"ON","OFF"))="OFF"),0,IF(O44&lt;&gt;"",O44,T44*AH$43))</f>
        <v>27237</v>
      </c>
    </row>
    <row r="45">
      <c r="A45" s="3" t="inlineStr">
        <is>
          <t>BIZ-05</t>
        </is>
      </c>
      <c r="B45" s="8" t="inlineStr">
        <is>
          <t>Business</t>
        </is>
      </c>
      <c r="C45" s="8" t="inlineStr">
        <is>
          <t>Contingency (share of build + tech)</t>
        </is>
      </c>
      <c r="D45" s="35" t="n"/>
      <c r="E45" s="35" t="n"/>
      <c r="F45" s="35" t="n"/>
      <c r="G45" s="75" t="str">
        <f>IF(INDEX(D$6:D$9,MATCH($B45,$C$6:$C$9,0))="OFF","OFF",IF(D45&lt;&gt;"",D45,IF(ISNUMBER(SEARCH(D$10,U45)),"ON","OFF")))</f>
        <v>ON</v>
      </c>
      <c r="H45" s="75" t="str">
        <f>IF(INDEX(E$6:E$9,MATCH($B45,$C$6:$C$9,0))="OFF","OFF",IF(E45&lt;&gt;"",E45,IF(ISNUMBER(SEARCH(E$10,V45)),"ON","OFF")))</f>
        <v>ON</v>
      </c>
      <c r="I45" s="75" t="str">
        <f>IF(INDEX(F$6:F$9,MATCH($B45,$C$6:$C$9,0))="OFF","OFF",IF(F45&lt;&gt;"",F45,IF(ISNUMBER(SEARCH(F$10,W45)),"ON","OFF")))</f>
        <v>ON</v>
      </c>
      <c r="J45" s="39">
        <f>IF(G45="OFF",0,IF(M45&lt;&gt;"",M45,R45*J$43))</f>
        <v>84336</v>
      </c>
      <c r="K45" s="39">
        <f>IF(H45="OFF",0,IF(N45&lt;&gt;"",N45,S45*K$43))</f>
        <v>47000</v>
      </c>
      <c r="L45" s="39">
        <f>IF(I45="OFF",0,IF(O45&lt;&gt;"",O45,T45*L$43))</f>
        <v>26368</v>
      </c>
      <c r="M45" s="54" t="n"/>
      <c r="N45" s="54" t="n"/>
      <c r="O45" s="54" t="n"/>
      <c r="P45" s="38" t="inlineStr">
        <is>
          <t>% of build + tech</t>
        </is>
      </c>
      <c r="Q45" s="38" t="inlineStr">
        <is>
          <t>Learning</t>
        </is>
      </c>
      <c r="R45" s="42" t="n">
        <v>0.08</v>
      </c>
      <c r="S45" s="42" t="n">
        <v>0.08</v>
      </c>
      <c r="T45" s="42" t="n">
        <v>0.08</v>
      </c>
      <c r="U45" s="35" t="inlineStr">
        <is>
          <t>LBS</t>
        </is>
      </c>
      <c r="V45" s="35" t="inlineStr">
        <is>
          <t>LBS</t>
        </is>
      </c>
      <c r="W45" s="35" t="inlineStr">
        <is>
          <t>LBS</t>
        </is>
      </c>
      <c r="X45" s="38" t="inlineStr">
        <is>
          <t>Falls with experience: fewer surprises on the tenth store than the first.</t>
        </is>
      </c>
      <c r="Z45" s="76">
        <f>IF(OR(INDEX(D$6:D$9,MATCH($B45,$C$6:$C$9,0))="OFF",IF(D45&lt;&gt;"",D45,IF(ISNUMBER(SEARCH("L",U45)),"ON","OFF"))="OFF"),0,IF(M45&lt;&gt;"",M45,R45*Z$43))</f>
        <v>68080</v>
      </c>
      <c r="AA45" s="76">
        <f>IF(OR(INDEX(E$6:E$9,MATCH($B45,$C$6:$C$9,0))="OFF",IF(E45&lt;&gt;"",E45,IF(ISNUMBER(SEARCH("L",V45)),"ON","OFF"))="OFF"),0,IF(N45&lt;&gt;"",N45,S45*AA$43))</f>
        <v>37224</v>
      </c>
      <c r="AB45" s="76">
        <f>IF(OR(INDEX(F$6:F$9,MATCH($B45,$C$6:$C$9,0))="OFF",IF(F45&lt;&gt;"",F45,IF(ISNUMBER(SEARCH("L",W45)),"ON","OFF"))="OFF"),0,IF(O45&lt;&gt;"",O45,T45*AB$43))</f>
        <v>22744</v>
      </c>
      <c r="AC45" s="76">
        <f>IF(OR(INDEX(D$6:D$9,MATCH($B45,$C$6:$C$9,0))="OFF",IF(D45&lt;&gt;"",D45,IF(ISNUMBER(SEARCH("B",U45)),"ON","OFF"))="OFF"),0,IF(M45&lt;&gt;"",M45,R45*AC$43))</f>
        <v>84336</v>
      </c>
      <c r="AD45" s="76">
        <f>IF(OR(INDEX(E$6:E$9,MATCH($B45,$C$6:$C$9,0))="OFF",IF(E45&lt;&gt;"",E45,IF(ISNUMBER(SEARCH("B",V45)),"ON","OFF"))="OFF"),0,IF(N45&lt;&gt;"",N45,S45*AD$43))</f>
        <v>47000</v>
      </c>
      <c r="AE45" s="76">
        <f>IF(OR(INDEX(F$6:F$9,MATCH($B45,$C$6:$C$9,0))="OFF",IF(F45&lt;&gt;"",F45,IF(ISNUMBER(SEARCH("B",W45)),"ON","OFF"))="OFF"),0,IF(O45&lt;&gt;"",O45,T45*AE$43))</f>
        <v>26368</v>
      </c>
      <c r="AF45" s="76">
        <f>IF(OR(INDEX(D$6:D$9,MATCH($B45,$C$6:$C$9,0))="OFF",IF(D45&lt;&gt;"",D45,IF(ISNUMBER(SEARCH("S",U45)),"ON","OFF"))="OFF"),0,IF(M45&lt;&gt;"",M45,R45*AF$43))</f>
        <v>109232</v>
      </c>
      <c r="AG45" s="76">
        <f>IF(OR(INDEX(E$6:E$9,MATCH($B45,$C$6:$C$9,0))="OFF",IF(E45&lt;&gt;"",E45,IF(ISNUMBER(SEARCH("S",V45)),"ON","OFF"))="OFF"),0,IF(N45&lt;&gt;"",N45,S45*AG$43))</f>
        <v>59352</v>
      </c>
      <c r="AH45" s="76">
        <f>IF(OR(INDEX(F$6:F$9,MATCH($B45,$C$6:$C$9,0))="OFF",IF(F45&lt;&gt;"",F45,IF(ISNUMBER(SEARCH("S",W45)),"ON","OFF"))="OFF"),0,IF(O45&lt;&gt;"",O45,T45*AH$43))</f>
        <v>31128</v>
      </c>
    </row>
    <row r="46">
      <c r="A46" s="78" t="n"/>
      <c r="B46" s="78" t="n"/>
      <c r="C46" s="79" t="inlineStr">
        <is>
          <t>Store build, first store</t>
        </is>
      </c>
      <c r="D46" s="78" t="n"/>
      <c r="E46" s="78" t="n"/>
      <c r="F46" s="78" t="n"/>
      <c r="G46" s="78" t="n"/>
      <c r="H46" s="78" t="n"/>
      <c r="I46" s="78" t="n"/>
      <c r="J46" s="80">
        <f>SUM(J16:J42)+SUM(J44:J45)</f>
        <v>1416330</v>
      </c>
      <c r="K46" s="80">
        <f>SUM(K16:K42)+SUM(K44:K45)</f>
        <v>799625</v>
      </c>
      <c r="L46" s="80">
        <f>SUM(L16:L42)+SUM(L44:L45)</f>
        <v>453040</v>
      </c>
      <c r="M46" s="78" t="n"/>
      <c r="N46" s="78" t="n"/>
      <c r="O46" s="78" t="n"/>
      <c r="P46" s="78" t="n"/>
      <c r="Q46" s="78" t="n"/>
      <c r="R46" s="78" t="n"/>
      <c r="S46" s="78" t="n"/>
      <c r="T46" s="78" t="n"/>
      <c r="U46" s="78" t="n"/>
      <c r="V46" s="78" t="n"/>
      <c r="W46" s="78" t="n"/>
      <c r="X46" s="78" t="n"/>
      <c r="Z46" s="76">
        <f>SUM(Z16:Z42)+SUM(Z44:Z45)</f>
        <v>1182650</v>
      </c>
      <c r="AA46" s="76">
        <f>SUM(AA16:AA42)+SUM(AA44:AA45)</f>
        <v>609095</v>
      </c>
      <c r="AB46" s="76">
        <f>SUM(AB16:AB42)+SUM(AB44:AB45)</f>
        <v>373945</v>
      </c>
      <c r="AC46" s="76">
        <f>SUM(AC16:AC42)+SUM(AC44:AC45)</f>
        <v>1416330</v>
      </c>
      <c r="AD46" s="76">
        <f>SUM(AD16:AD42)+SUM(AD44:AD45)</f>
        <v>799625</v>
      </c>
      <c r="AE46" s="76">
        <f>SUM(AE16:AE42)+SUM(AE44:AE45)</f>
        <v>453040</v>
      </c>
      <c r="AF46" s="76">
        <f>SUM(AF16:AF42)+SUM(AF44:AF45)</f>
        <v>1774210</v>
      </c>
      <c r="AG46" s="76">
        <f>SUM(AG16:AG42)+SUM(AG44:AG45)</f>
        <v>977185</v>
      </c>
      <c r="AH46" s="76">
        <f>SUM(AH16:AH42)+SUM(AH44:AH45)</f>
        <v>521465</v>
      </c>
    </row>
    <row r="48" ht="20" customHeight="1">
      <c r="A48" s="4" t="inlineStr">
        <is>
          <t>One-time design, paid with the first store of each size (not part of each store's build)</t>
        </is>
      </c>
      <c r="B48" s="5" t="n"/>
      <c r="C48" s="5" t="n"/>
      <c r="D48" s="5" t="n"/>
      <c r="E48" s="5" t="n"/>
      <c r="F48" s="5" t="n"/>
      <c r="G48" s="5" t="n"/>
      <c r="H48" s="5" t="n"/>
      <c r="I48" s="5" t="n"/>
      <c r="J48" s="5" t="n"/>
      <c r="K48" s="5" t="n"/>
      <c r="L48" s="5" t="n"/>
      <c r="M48" s="5" t="n"/>
      <c r="N48" s="5" t="n"/>
      <c r="O48" s="5" t="n"/>
      <c r="P48" s="5" t="n"/>
      <c r="Q48" s="5" t="n"/>
      <c r="R48" s="5" t="n"/>
      <c r="S48" s="5" t="n"/>
      <c r="T48" s="5" t="n"/>
      <c r="U48" s="5" t="n"/>
      <c r="V48" s="5" t="n"/>
      <c r="W48" s="5" t="n"/>
      <c r="X48" s="5" t="n"/>
    </row>
    <row r="49">
      <c r="A49" s="3" t="inlineStr">
        <is>
          <t>ONE-01</t>
        </is>
      </c>
      <c r="B49" s="8" t="inlineStr">
        <is>
          <t>Design</t>
        </is>
      </c>
      <c r="C49" s="8" t="inlineStr">
        <is>
          <t>Format concept and experience design</t>
        </is>
      </c>
      <c r="D49" s="35" t="n"/>
      <c r="E49" s="35" t="n"/>
      <c r="F49" s="35" t="n"/>
      <c r="G49" s="75" t="str">
        <f>IF(INDEX(D$6:D$9,MATCH($B49,$C$6:$C$9,0))="OFF","OFF",IF(D49&lt;&gt;"",D49,IF(ISNUMBER(SEARCH(D$10,U49)),"ON","OFF")))</f>
        <v>ON</v>
      </c>
      <c r="H49" s="75" t="str">
        <f>IF(INDEX(E$6:E$9,MATCH($B49,$C$6:$C$9,0))="OFF","OFF",IF(E49&lt;&gt;"",E49,IF(ISNUMBER(SEARCH(E$10,V49)),"ON","OFF")))</f>
        <v>ON</v>
      </c>
      <c r="I49" s="75" t="str">
        <f>IF(INDEX(F$6:F$9,MATCH($B49,$C$6:$C$9,0))="OFF","OFF",IF(F49&lt;&gt;"",F49,IF(ISNUMBER(SEARCH(F$10,W49)),"ON","OFF")))</f>
        <v>ON</v>
      </c>
      <c r="J49" s="39">
        <f>IF(G49="OFF",0,IF(M49&lt;&gt;"",M49,R49))</f>
        <v>168000</v>
      </c>
      <c r="K49" s="39">
        <f>IF(H49="OFF",0,IF(N49&lt;&gt;"",N49,S49))</f>
        <v>86000</v>
      </c>
      <c r="L49" s="39">
        <f>IF(I49="OFF",0,IF(O49&lt;&gt;"",O49,T49))</f>
        <v>46000</v>
      </c>
      <c r="M49" s="54" t="n"/>
      <c r="N49" s="54" t="n"/>
      <c r="O49" s="54" t="n"/>
      <c r="P49" s="38" t="inlineStr">
        <is>
          <t>once per size</t>
        </is>
      </c>
      <c r="Q49" s="38" t="inlineStr">
        <is>
          <t>No scale effect</t>
        </is>
      </c>
      <c r="R49" s="54" t="n">
        <v>168000</v>
      </c>
      <c r="S49" s="54" t="n">
        <v>86000</v>
      </c>
      <c r="T49" s="54" t="n">
        <v>46000</v>
      </c>
      <c r="U49" s="35" t="inlineStr">
        <is>
          <t>LBS</t>
        </is>
      </c>
      <c r="V49" s="35" t="inlineStr">
        <is>
          <t>LBS</t>
        </is>
      </c>
      <c r="W49" s="35" t="inlineStr">
        <is>
          <t>LBS</t>
        </is>
      </c>
      <c r="X49" s="38" t="inlineStr">
        <is>
          <t>Paid once, when the first store of this size opens.</t>
        </is>
      </c>
      <c r="Z49" s="76">
        <f>IF(OR(INDEX(D$6:D$9,MATCH($B49,$C$6:$C$9,0))="OFF",IF(D49&lt;&gt;"",D49,IF(ISNUMBER(SEARCH("L",U49)),"ON","OFF"))="OFF"),0,IF(M49&lt;&gt;"",M49,R49))</f>
        <v>168000</v>
      </c>
      <c r="AA49" s="76">
        <f>IF(OR(INDEX(E$6:E$9,MATCH($B49,$C$6:$C$9,0))="OFF",IF(E49&lt;&gt;"",E49,IF(ISNUMBER(SEARCH("L",V49)),"ON","OFF"))="OFF"),0,IF(N49&lt;&gt;"",N49,S49))</f>
        <v>86000</v>
      </c>
      <c r="AB49" s="76">
        <f>IF(OR(INDEX(F$6:F$9,MATCH($B49,$C$6:$C$9,0))="OFF",IF(F49&lt;&gt;"",F49,IF(ISNUMBER(SEARCH("L",W49)),"ON","OFF"))="OFF"),0,IF(O49&lt;&gt;"",O49,T49))</f>
        <v>46000</v>
      </c>
      <c r="AC49" s="76">
        <f>IF(OR(INDEX(D$6:D$9,MATCH($B49,$C$6:$C$9,0))="OFF",IF(D49&lt;&gt;"",D49,IF(ISNUMBER(SEARCH("B",U49)),"ON","OFF"))="OFF"),0,IF(M49&lt;&gt;"",M49,R49))</f>
        <v>168000</v>
      </c>
      <c r="AD49" s="76">
        <f>IF(OR(INDEX(E$6:E$9,MATCH($B49,$C$6:$C$9,0))="OFF",IF(E49&lt;&gt;"",E49,IF(ISNUMBER(SEARCH("B",V49)),"ON","OFF"))="OFF"),0,IF(N49&lt;&gt;"",N49,S49))</f>
        <v>86000</v>
      </c>
      <c r="AE49" s="76">
        <f>IF(OR(INDEX(F$6:F$9,MATCH($B49,$C$6:$C$9,0))="OFF",IF(F49&lt;&gt;"",F49,IF(ISNUMBER(SEARCH("B",W49)),"ON","OFF"))="OFF"),0,IF(O49&lt;&gt;"",O49,T49))</f>
        <v>46000</v>
      </c>
      <c r="AF49" s="76">
        <f>IF(OR(INDEX(D$6:D$9,MATCH($B49,$C$6:$C$9,0))="OFF",IF(D49&lt;&gt;"",D49,IF(ISNUMBER(SEARCH("S",U49)),"ON","OFF"))="OFF"),0,IF(M49&lt;&gt;"",M49,R49))</f>
        <v>168000</v>
      </c>
      <c r="AG49" s="76">
        <f>IF(OR(INDEX(E$6:E$9,MATCH($B49,$C$6:$C$9,0))="OFF",IF(E49&lt;&gt;"",E49,IF(ISNUMBER(SEARCH("S",V49)),"ON","OFF"))="OFF"),0,IF(N49&lt;&gt;"",N49,S49))</f>
        <v>86000</v>
      </c>
      <c r="AH49" s="76">
        <f>IF(OR(INDEX(F$6:F$9,MATCH($B49,$C$6:$C$9,0))="OFF",IF(F49&lt;&gt;"",F49,IF(ISNUMBER(SEARCH("S",W49)),"ON","OFF"))="OFF"),0,IF(O49&lt;&gt;"",O49,T49))</f>
        <v>46000</v>
      </c>
    </row>
    <row r="50">
      <c r="A50" s="3" t="inlineStr">
        <is>
          <t>ONE-02</t>
        </is>
      </c>
      <c r="B50" s="8" t="inlineStr">
        <is>
          <t>Design</t>
        </is>
      </c>
      <c r="C50" s="8" t="inlineStr">
        <is>
          <t>Prototype and mock-up testing</t>
        </is>
      </c>
      <c r="D50" s="35" t="n"/>
      <c r="E50" s="35" t="n"/>
      <c r="F50" s="35" t="n"/>
      <c r="G50" s="75" t="str">
        <f>IF(INDEX(D$6:D$9,MATCH($B50,$C$6:$C$9,0))="OFF","OFF",IF(D50&lt;&gt;"",D50,IF(ISNUMBER(SEARCH(D$10,U50)),"ON","OFF")))</f>
        <v>ON</v>
      </c>
      <c r="H50" s="75" t="str">
        <f>IF(INDEX(E$6:E$9,MATCH($B50,$C$6:$C$9,0))="OFF","OFF",IF(E50&lt;&gt;"",E50,IF(ISNUMBER(SEARCH(E$10,V50)),"ON","OFF")))</f>
        <v>ON</v>
      </c>
      <c r="I50" s="75" t="str">
        <f>IF(INDEX(F$6:F$9,MATCH($B50,$C$6:$C$9,0))="OFF","OFF",IF(F50&lt;&gt;"",F50,IF(ISNUMBER(SEARCH(F$10,W50)),"ON","OFF")))</f>
        <v>ON</v>
      </c>
      <c r="J50" s="39">
        <f>IF(G50="OFF",0,IF(M50&lt;&gt;"",M50,R50))</f>
        <v>52000</v>
      </c>
      <c r="K50" s="39">
        <f>IF(H50="OFF",0,IF(N50&lt;&gt;"",N50,S50))</f>
        <v>31000</v>
      </c>
      <c r="L50" s="39">
        <f>IF(I50="OFF",0,IF(O50&lt;&gt;"",O50,T50))</f>
        <v>19000</v>
      </c>
      <c r="M50" s="54" t="n"/>
      <c r="N50" s="54" t="n"/>
      <c r="O50" s="54" t="n"/>
      <c r="P50" s="38" t="inlineStr">
        <is>
          <t>once per size</t>
        </is>
      </c>
      <c r="Q50" s="38" t="inlineStr">
        <is>
          <t>No scale effect</t>
        </is>
      </c>
      <c r="R50" s="54" t="n">
        <v>52000</v>
      </c>
      <c r="S50" s="54" t="n">
        <v>31000</v>
      </c>
      <c r="T50" s="54" t="n">
        <v>19000</v>
      </c>
      <c r="U50" s="35" t="inlineStr">
        <is>
          <t>BS</t>
        </is>
      </c>
      <c r="V50" s="35" t="inlineStr">
        <is>
          <t>BS</t>
        </is>
      </c>
      <c r="W50" s="35" t="inlineStr">
        <is>
          <t>BS</t>
        </is>
      </c>
      <c r="X50" s="38" t="inlineStr">
        <is>
          <t>Lean skips the prototype (and takes the risk).</t>
        </is>
      </c>
      <c r="Z50" s="76">
        <f>IF(OR(INDEX(D$6:D$9,MATCH($B50,$C$6:$C$9,0))="OFF",IF(D50&lt;&gt;"",D50,IF(ISNUMBER(SEARCH("L",U50)),"ON","OFF"))="OFF"),0,IF(M50&lt;&gt;"",M50,R50))</f>
        <v>0</v>
      </c>
      <c r="AA50" s="76">
        <f>IF(OR(INDEX(E$6:E$9,MATCH($B50,$C$6:$C$9,0))="OFF",IF(E50&lt;&gt;"",E50,IF(ISNUMBER(SEARCH("L",V50)),"ON","OFF"))="OFF"),0,IF(N50&lt;&gt;"",N50,S50))</f>
        <v>0</v>
      </c>
      <c r="AB50" s="76">
        <f>IF(OR(INDEX(F$6:F$9,MATCH($B50,$C$6:$C$9,0))="OFF",IF(F50&lt;&gt;"",F50,IF(ISNUMBER(SEARCH("L",W50)),"ON","OFF"))="OFF"),0,IF(O50&lt;&gt;"",O50,T50))</f>
        <v>0</v>
      </c>
      <c r="AC50" s="76">
        <f>IF(OR(INDEX(D$6:D$9,MATCH($B50,$C$6:$C$9,0))="OFF",IF(D50&lt;&gt;"",D50,IF(ISNUMBER(SEARCH("B",U50)),"ON","OFF"))="OFF"),0,IF(M50&lt;&gt;"",M50,R50))</f>
        <v>52000</v>
      </c>
      <c r="AD50" s="76">
        <f>IF(OR(INDEX(E$6:E$9,MATCH($B50,$C$6:$C$9,0))="OFF",IF(E50&lt;&gt;"",E50,IF(ISNUMBER(SEARCH("B",V50)),"ON","OFF"))="OFF"),0,IF(N50&lt;&gt;"",N50,S50))</f>
        <v>31000</v>
      </c>
      <c r="AE50" s="76">
        <f>IF(OR(INDEX(F$6:F$9,MATCH($B50,$C$6:$C$9,0))="OFF",IF(F50&lt;&gt;"",F50,IF(ISNUMBER(SEARCH("B",W50)),"ON","OFF"))="OFF"),0,IF(O50&lt;&gt;"",O50,T50))</f>
        <v>19000</v>
      </c>
      <c r="AF50" s="76">
        <f>IF(OR(INDEX(D$6:D$9,MATCH($B50,$C$6:$C$9,0))="OFF",IF(D50&lt;&gt;"",D50,IF(ISNUMBER(SEARCH("S",U50)),"ON","OFF"))="OFF"),0,IF(M50&lt;&gt;"",M50,R50))</f>
        <v>52000</v>
      </c>
      <c r="AG50" s="76">
        <f>IF(OR(INDEX(E$6:E$9,MATCH($B50,$C$6:$C$9,0))="OFF",IF(E50&lt;&gt;"",E50,IF(ISNUMBER(SEARCH("S",V50)),"ON","OFF"))="OFF"),0,IF(N50&lt;&gt;"",N50,S50))</f>
        <v>31000</v>
      </c>
      <c r="AH50" s="76">
        <f>IF(OR(INDEX(F$6:F$9,MATCH($B50,$C$6:$C$9,0))="OFF",IF(F50&lt;&gt;"",F50,IF(ISNUMBER(SEARCH("S",W50)),"ON","OFF"))="OFF"),0,IF(O50&lt;&gt;"",O50,T50))</f>
        <v>19000</v>
      </c>
    </row>
    <row r="51">
      <c r="A51" s="3" t="inlineStr">
        <is>
          <t>ONE-03</t>
        </is>
      </c>
      <c r="B51" s="8" t="inlineStr">
        <is>
          <t>Design</t>
        </is>
      </c>
      <c r="C51" s="8" t="inlineStr">
        <is>
          <t>Signature artist installation</t>
        </is>
      </c>
      <c r="D51" s="35" t="n"/>
      <c r="E51" s="35" t="n"/>
      <c r="F51" s="35" t="n"/>
      <c r="G51" s="75" t="str">
        <f>IF(INDEX(D$6:D$9,MATCH($B51,$C$6:$C$9,0))="OFF","OFF",IF(D51&lt;&gt;"",D51,IF(ISNUMBER(SEARCH(D$10,U51)),"ON","OFF")))</f>
        <v>OFF</v>
      </c>
      <c r="H51" s="75" t="str">
        <f>IF(INDEX(E$6:E$9,MATCH($B51,$C$6:$C$9,0))="OFF","OFF",IF(E51&lt;&gt;"",E51,IF(ISNUMBER(SEARCH(E$10,V51)),"ON","OFF")))</f>
        <v>OFF</v>
      </c>
      <c r="I51" s="75" t="str">
        <f>IF(INDEX(F$6:F$9,MATCH($B51,$C$6:$C$9,0))="OFF","OFF",IF(F51&lt;&gt;"",F51,IF(ISNUMBER(SEARCH(F$10,W51)),"ON","OFF")))</f>
        <v>OFF</v>
      </c>
      <c r="J51" s="39">
        <f>IF(G51="OFF",0,IF(M51&lt;&gt;"",M51,R51))</f>
        <v>0</v>
      </c>
      <c r="K51" s="39">
        <f>IF(H51="OFF",0,IF(N51&lt;&gt;"",N51,S51))</f>
        <v>0</v>
      </c>
      <c r="L51" s="39">
        <f>IF(I51="OFF",0,IF(O51&lt;&gt;"",O51,T51))</f>
        <v>0</v>
      </c>
      <c r="M51" s="54" t="n"/>
      <c r="N51" s="54" t="n"/>
      <c r="O51" s="54" t="n"/>
      <c r="P51" s="38" t="inlineStr">
        <is>
          <t>once per size</t>
        </is>
      </c>
      <c r="Q51" s="38" t="inlineStr">
        <is>
          <t>No scale effect</t>
        </is>
      </c>
      <c r="R51" s="54" t="n">
        <v>115000</v>
      </c>
      <c r="S51" s="54" t="n">
        <v>48000</v>
      </c>
      <c r="T51" s="54" t="n">
        <v>0</v>
      </c>
      <c r="U51" s="35" t="inlineStr">
        <is>
          <t>S</t>
        </is>
      </c>
      <c r="V51" s="35" t="inlineStr">
        <is>
          <t>S</t>
        </is>
      </c>
      <c r="W51" s="35" t="inlineStr">
        <is>
          <t>-</t>
        </is>
      </c>
      <c r="X51" s="38" t="inlineStr">
        <is>
          <t>Showcase only.</t>
        </is>
      </c>
      <c r="Z51" s="76">
        <f>IF(OR(INDEX(D$6:D$9,MATCH($B51,$C$6:$C$9,0))="OFF",IF(D51&lt;&gt;"",D51,IF(ISNUMBER(SEARCH("L",U51)),"ON","OFF"))="OFF"),0,IF(M51&lt;&gt;"",M51,R51))</f>
        <v>0</v>
      </c>
      <c r="AA51" s="76">
        <f>IF(OR(INDEX(E$6:E$9,MATCH($B51,$C$6:$C$9,0))="OFF",IF(E51&lt;&gt;"",E51,IF(ISNUMBER(SEARCH("L",V51)),"ON","OFF"))="OFF"),0,IF(N51&lt;&gt;"",N51,S51))</f>
        <v>0</v>
      </c>
      <c r="AB51" s="76">
        <f>IF(OR(INDEX(F$6:F$9,MATCH($B51,$C$6:$C$9,0))="OFF",IF(F51&lt;&gt;"",F51,IF(ISNUMBER(SEARCH("L",W51)),"ON","OFF"))="OFF"),0,IF(O51&lt;&gt;"",O51,T51))</f>
        <v>0</v>
      </c>
      <c r="AC51" s="76">
        <f>IF(OR(INDEX(D$6:D$9,MATCH($B51,$C$6:$C$9,0))="OFF",IF(D51&lt;&gt;"",D51,IF(ISNUMBER(SEARCH("B",U51)),"ON","OFF"))="OFF"),0,IF(M51&lt;&gt;"",M51,R51))</f>
        <v>0</v>
      </c>
      <c r="AD51" s="76">
        <f>IF(OR(INDEX(E$6:E$9,MATCH($B51,$C$6:$C$9,0))="OFF",IF(E51&lt;&gt;"",E51,IF(ISNUMBER(SEARCH("B",V51)),"ON","OFF"))="OFF"),0,IF(N51&lt;&gt;"",N51,S51))</f>
        <v>0</v>
      </c>
      <c r="AE51" s="76">
        <f>IF(OR(INDEX(F$6:F$9,MATCH($B51,$C$6:$C$9,0))="OFF",IF(F51&lt;&gt;"",F51,IF(ISNUMBER(SEARCH("B",W51)),"ON","OFF"))="OFF"),0,IF(O51&lt;&gt;"",O51,T51))</f>
        <v>0</v>
      </c>
      <c r="AF51" s="76">
        <f>IF(OR(INDEX(D$6:D$9,MATCH($B51,$C$6:$C$9,0))="OFF",IF(D51&lt;&gt;"",D51,IF(ISNUMBER(SEARCH("S",U51)),"ON","OFF"))="OFF"),0,IF(M51&lt;&gt;"",M51,R51))</f>
        <v>115000</v>
      </c>
      <c r="AG51" s="76">
        <f>IF(OR(INDEX(E$6:E$9,MATCH($B51,$C$6:$C$9,0))="OFF",IF(E51&lt;&gt;"",E51,IF(ISNUMBER(SEARCH("S",V51)),"ON","OFF"))="OFF"),0,IF(N51&lt;&gt;"",N51,S51))</f>
        <v>48000</v>
      </c>
      <c r="AH51" s="76">
        <f>IF(OR(INDEX(F$6:F$9,MATCH($B51,$C$6:$C$9,0))="OFF",IF(F51&lt;&gt;"",F51,IF(ISNUMBER(SEARCH("S",W51)),"ON","OFF"))="OFF"),0,IF(O51&lt;&gt;"",O51,T51))</f>
        <v>0</v>
      </c>
    </row>
    <row r="52">
      <c r="A52" s="78" t="n"/>
      <c r="B52" s="78" t="n"/>
      <c r="C52" s="79" t="inlineStr">
        <is>
          <t>One-time design, first store of each size</t>
        </is>
      </c>
      <c r="D52" s="78" t="n"/>
      <c r="E52" s="78" t="n"/>
      <c r="F52" s="78" t="n"/>
      <c r="G52" s="78" t="n"/>
      <c r="H52" s="78" t="n"/>
      <c r="I52" s="78" t="n"/>
      <c r="J52" s="80">
        <f>SUM(J49:J51)</f>
        <v>220000</v>
      </c>
      <c r="K52" s="80">
        <f>SUM(K49:K51)</f>
        <v>117000</v>
      </c>
      <c r="L52" s="80">
        <f>SUM(L49:L51)</f>
        <v>65000</v>
      </c>
      <c r="M52" s="78" t="n"/>
      <c r="N52" s="78" t="n"/>
      <c r="O52" s="78" t="n"/>
      <c r="P52" s="78" t="n"/>
      <c r="Q52" s="78" t="n"/>
      <c r="R52" s="78" t="n"/>
      <c r="S52" s="78" t="n"/>
      <c r="T52" s="78" t="n"/>
      <c r="U52" s="78" t="n"/>
      <c r="V52" s="78" t="n"/>
      <c r="W52" s="78" t="n"/>
      <c r="X52" s="78" t="n"/>
      <c r="Z52" s="76">
        <f>SUM(Z49:Z51)</f>
        <v>168000</v>
      </c>
      <c r="AA52" s="76">
        <f>SUM(AA49:AA51)</f>
        <v>86000</v>
      </c>
      <c r="AB52" s="76">
        <f>SUM(AB49:AB51)</f>
        <v>46000</v>
      </c>
      <c r="AC52" s="76">
        <f>SUM(AC49:AC51)</f>
        <v>220000</v>
      </c>
      <c r="AD52" s="76">
        <f>SUM(AD49:AD51)</f>
        <v>117000</v>
      </c>
      <c r="AE52" s="76">
        <f>SUM(AE49:AE51)</f>
        <v>65000</v>
      </c>
      <c r="AF52" s="76">
        <f>SUM(AF49:AF51)</f>
        <v>335000</v>
      </c>
      <c r="AG52" s="76">
        <f>SUM(AG49:AG51)</f>
        <v>165000</v>
      </c>
      <c r="AH52" s="76">
        <f>SUM(AH49:AH51)</f>
        <v>65000</v>
      </c>
    </row>
    <row r="54" ht="20" customHeight="1">
      <c r="A54" s="4" t="inlineStr">
        <is>
          <t>Program setup, shared by every store size (paid once, in year 1)</t>
        </is>
      </c>
      <c r="B54" s="5" t="n"/>
      <c r="C54" s="5" t="n"/>
      <c r="D54" s="5" t="n"/>
      <c r="E54" s="5" t="n"/>
      <c r="F54" s="5" t="n"/>
      <c r="G54" s="5" t="n"/>
      <c r="H54" s="5" t="n"/>
      <c r="I54" s="5" t="n"/>
      <c r="J54" s="5" t="n"/>
      <c r="K54" s="5" t="n"/>
      <c r="L54" s="5" t="n"/>
      <c r="M54" s="5" t="n"/>
      <c r="N54" s="5" t="n"/>
      <c r="O54" s="5" t="n"/>
      <c r="P54" s="5" t="n"/>
      <c r="Q54" s="5" t="n"/>
      <c r="R54" s="5" t="n"/>
      <c r="S54" s="5" t="n"/>
      <c r="T54" s="5" t="n"/>
      <c r="U54" s="5" t="n"/>
      <c r="V54" s="5" t="n"/>
      <c r="W54" s="5" t="n"/>
      <c r="X54" s="5" t="n"/>
    </row>
    <row r="55" ht="18" customHeight="1">
      <c r="A55" s="10" t="inlineStr">
        <is>
          <t>ID</t>
        </is>
      </c>
      <c r="B55" s="11" t="inlineStr">
        <is>
          <t>Bucket</t>
        </is>
      </c>
      <c r="C55" s="11" t="inlineStr">
        <is>
          <t>Line item</t>
        </is>
      </c>
      <c r="D55" s="11" t="inlineStr">
        <is>
          <t>Your call</t>
        </is>
      </c>
      <c r="E55" s="11" t="n"/>
      <c r="F55" s="11" t="n"/>
      <c r="G55" s="11" t="inlineStr">
        <is>
          <t>State</t>
        </is>
      </c>
      <c r="H55" s="11" t="n"/>
      <c r="I55" s="11" t="n"/>
      <c r="J55" s="11" t="inlineStr">
        <is>
          <t>Amount</t>
        </is>
      </c>
      <c r="K55" s="11" t="n"/>
      <c r="L55" s="11" t="n"/>
      <c r="M55" s="11" t="inlineStr">
        <is>
          <t>Your $</t>
        </is>
      </c>
      <c r="N55" s="11" t="n"/>
      <c r="O55" s="11" t="n"/>
      <c r="P55" s="11" t="inlineStr"/>
      <c r="Q55" s="11" t="inlineStr"/>
      <c r="R55" s="11" t="inlineStr">
        <is>
          <t>Base amount</t>
        </is>
      </c>
      <c r="S55" s="11" t="n"/>
      <c r="T55" s="11" t="n"/>
      <c r="U55" s="11" t="n"/>
      <c r="V55" s="11" t="n"/>
      <c r="W55" s="11" t="n"/>
      <c r="X55" s="11" t="n"/>
    </row>
    <row r="56">
      <c r="A56" s="3" t="inlineStr">
        <is>
          <t>PRG-01</t>
        </is>
      </c>
      <c r="B56" s="8" t="inlineStr">
        <is>
          <t>Tech</t>
        </is>
      </c>
      <c r="C56" s="8" t="inlineStr">
        <is>
          <t>Content management platform setup</t>
        </is>
      </c>
      <c r="D56" s="35" t="n"/>
      <c r="G56" s="75" t="str">
        <f>IF(D56&lt;&gt;"",D56,"ON")</f>
        <v>ON</v>
      </c>
      <c r="J56" s="39">
        <f>IF(G56="OFF",0,IF(M56&lt;&gt;"",M56,R56))</f>
        <v>118000</v>
      </c>
      <c r="M56" s="54" t="n"/>
      <c r="P56" s="38" t="inlineStr">
        <is>
          <t>once, year 1</t>
        </is>
      </c>
      <c r="R56" s="54" t="n">
        <v>118000</v>
      </c>
    </row>
    <row r="57">
      <c r="A57" s="3" t="inlineStr">
        <is>
          <t>PRG-02</t>
        </is>
      </c>
      <c r="B57" s="8" t="inlineStr">
        <is>
          <t>Tech</t>
        </is>
      </c>
      <c r="C57" s="8" t="inlineStr">
        <is>
          <t>Footfall and analytics dashboards</t>
        </is>
      </c>
      <c r="D57" s="35" t="n"/>
      <c r="G57" s="75" t="str">
        <f>IF(D57&lt;&gt;"",D57,"ON")</f>
        <v>ON</v>
      </c>
      <c r="J57" s="39">
        <f>IF(G57="OFF",0,IF(M57&lt;&gt;"",M57,R57))</f>
        <v>56000</v>
      </c>
      <c r="M57" s="54" t="n"/>
      <c r="P57" s="38" t="inlineStr">
        <is>
          <t>once, year 1</t>
        </is>
      </c>
      <c r="R57" s="54" t="n">
        <v>56000</v>
      </c>
    </row>
    <row r="58">
      <c r="A58" s="3" t="inlineStr">
        <is>
          <t>PRG-03</t>
        </is>
      </c>
      <c r="B58" s="8" t="inlineStr">
        <is>
          <t>Tech</t>
        </is>
      </c>
      <c r="C58" s="8" t="inlineStr">
        <is>
          <t>Integration platform and data connections</t>
        </is>
      </c>
      <c r="D58" s="35" t="n"/>
      <c r="G58" s="75" t="str">
        <f>IF(D58&lt;&gt;"",D58,"ON")</f>
        <v>ON</v>
      </c>
      <c r="J58" s="39">
        <f>IF(G58="OFF",0,IF(M58&lt;&gt;"",M58,R58))</f>
        <v>74000</v>
      </c>
      <c r="M58" s="54" t="n"/>
      <c r="P58" s="38" t="inlineStr">
        <is>
          <t>once, year 1</t>
        </is>
      </c>
      <c r="R58" s="54" t="n">
        <v>74000</v>
      </c>
    </row>
    <row r="59">
      <c r="A59" s="3" t="inlineStr">
        <is>
          <t>PRG-04</t>
        </is>
      </c>
      <c r="B59" s="8" t="inlineStr">
        <is>
          <t>Design</t>
        </is>
      </c>
      <c r="C59" s="8" t="inlineStr">
        <is>
          <t>Brand experience playbook</t>
        </is>
      </c>
      <c r="D59" s="35" t="n"/>
      <c r="G59" s="75" t="str">
        <f>IF(D59&lt;&gt;"",D59,"ON")</f>
        <v>ON</v>
      </c>
      <c r="J59" s="39">
        <f>IF(G59="OFF",0,IF(M59&lt;&gt;"",M59,R59))</f>
        <v>46000</v>
      </c>
      <c r="M59" s="54" t="n"/>
      <c r="P59" s="38" t="inlineStr">
        <is>
          <t>once, year 1</t>
        </is>
      </c>
      <c r="R59" s="54" t="n">
        <v>46000</v>
      </c>
    </row>
    <row r="60">
      <c r="A60" s="3" t="inlineStr">
        <is>
          <t>PRG-05</t>
        </is>
      </c>
      <c r="B60" s="8" t="inlineStr">
        <is>
          <t>Business</t>
        </is>
      </c>
      <c r="C60" s="8" t="inlineStr">
        <is>
          <t>Program office setup and hiring</t>
        </is>
      </c>
      <c r="D60" s="35" t="n"/>
      <c r="G60" s="75" t="str">
        <f>IF(D60&lt;&gt;"",D60,"ON")</f>
        <v>ON</v>
      </c>
      <c r="J60" s="39">
        <f>IF(G60="OFF",0,IF(M60&lt;&gt;"",M60,R60))</f>
        <v>62000</v>
      </c>
      <c r="M60" s="54" t="n"/>
      <c r="P60" s="38" t="inlineStr">
        <is>
          <t>once, year 1</t>
        </is>
      </c>
      <c r="R60" s="54" t="n">
        <v>62000</v>
      </c>
    </row>
    <row r="61">
      <c r="A61" s="78" t="n"/>
      <c r="B61" s="78" t="n"/>
      <c r="C61" s="79" t="inlineStr">
        <is>
          <t>Program setup, total</t>
        </is>
      </c>
      <c r="D61" s="78" t="n"/>
      <c r="E61" s="78" t="n"/>
      <c r="F61" s="78" t="n"/>
      <c r="G61" s="78" t="n"/>
      <c r="H61" s="78" t="n"/>
      <c r="I61" s="78" t="n"/>
      <c r="J61" s="80">
        <f>SUM(J56:J60)</f>
        <v>356000</v>
      </c>
      <c r="K61" s="78" t="n"/>
      <c r="L61" s="78" t="n"/>
      <c r="M61" s="78" t="n"/>
      <c r="N61" s="78" t="n"/>
      <c r="O61" s="78" t="n"/>
      <c r="P61" s="78" t="n"/>
      <c r="Q61" s="78" t="n"/>
      <c r="R61" s="78" t="n"/>
      <c r="S61" s="78" t="n"/>
      <c r="T61" s="78" t="n"/>
      <c r="U61" s="78" t="n"/>
      <c r="V61" s="78" t="n"/>
      <c r="W61" s="78" t="n"/>
      <c r="X61" s="78" t="n"/>
    </row>
  </sheetData>
  <mergeCells count="17">
    <mergeCell ref="M14:O14"/>
    <mergeCell ref="D14:F14"/>
    <mergeCell ref="G10:I10"/>
    <mergeCell ref="G14:I14"/>
    <mergeCell ref="J14:L14"/>
    <mergeCell ref="G6:I6"/>
    <mergeCell ref="G5:I5"/>
    <mergeCell ref="U14:W14"/>
    <mergeCell ref="R14:T14"/>
    <mergeCell ref="G8:I8"/>
    <mergeCell ref="G9:I9"/>
    <mergeCell ref="G4:I4"/>
    <mergeCell ref="G3:I3"/>
    <mergeCell ref="G12:I12"/>
    <mergeCell ref="J12:L12"/>
    <mergeCell ref="G7:I7"/>
    <mergeCell ref="G11:I11"/>
  </mergeCells>
  <conditionalFormatting sqref="D6:F9">
    <cfRule type="expression" priority="1" dxfId="4">
      <formula>D6="OFF"</formula>
    </cfRule>
  </conditionalFormatting>
  <conditionalFormatting sqref="G16:I45">
    <cfRule type="expression" priority="2" dxfId="0">
      <formula>G16="ON"</formula>
    </cfRule>
    <cfRule type="expression" priority="3" dxfId="5">
      <formula>G16="OFF"</formula>
    </cfRule>
  </conditionalFormatting>
  <conditionalFormatting sqref="G49:I51">
    <cfRule type="expression" priority="4" dxfId="0">
      <formula>G49="ON"</formula>
    </cfRule>
    <cfRule type="expression" priority="5" dxfId="5">
      <formula>G49="OFF"</formula>
    </cfRule>
  </conditionalFormatting>
  <conditionalFormatting sqref="G56:G60">
    <cfRule type="expression" priority="6" dxfId="0">
      <formula>G56="ON"</formula>
    </cfRule>
    <cfRule type="expression" priority="7" dxfId="5">
      <formula>G56="OFF"</formula>
    </cfRule>
  </conditionalFormatting>
  <conditionalFormatting sqref="D16:F45">
    <cfRule type="expression" priority="8" dxfId="6">
      <formula>D16&lt;&gt;""</formula>
    </cfRule>
  </conditionalFormatting>
  <conditionalFormatting sqref="D49:F51">
    <cfRule type="expression" priority="9" dxfId="6">
      <formula>D49&lt;&gt;""</formula>
    </cfRule>
  </conditionalFormatting>
  <conditionalFormatting sqref="D56:D60">
    <cfRule type="expression" priority="10" dxfId="6">
      <formula>D56&lt;&gt;""</formula>
    </cfRule>
  </conditionalFormatting>
  <conditionalFormatting sqref="M16:O45">
    <cfRule type="expression" priority="11" dxfId="6">
      <formula>M16&lt;&gt;""</formula>
    </cfRule>
  </conditionalFormatting>
  <conditionalFormatting sqref="M49:O51">
    <cfRule type="expression" priority="12" dxfId="6">
      <formula>M49&lt;&gt;""</formula>
    </cfRule>
  </conditionalFormatting>
  <conditionalFormatting sqref="M56:M60">
    <cfRule type="expression" priority="13" dxfId="6">
      <formula>M56&lt;&gt;""</formula>
    </cfRule>
  </conditionalFormatting>
  <dataValidations count="2">
    <dataValidation sqref="D6:F9 D16:F45 D49:F51 D56:D60" showDropDown="0" showInputMessage="0" showErrorMessage="0" allowBlank="1" errorTitle="Not on the list" error="Pick a value from the list." type="list">
      <formula1>=OnOff</formula1>
    </dataValidation>
    <dataValidation sqref="U16:W45 U49:W51" showDropDown="0" showInputMessage="0" showErrorMessage="0" allowBlank="1" errorTitle="Not on the list" error="Pick a value from the list." type="list">
      <formula1>=CodeList</formula1>
    </dataValidation>
  </dataValidations>
  <pageMargins left="0.75" right="0.75" top="1" bottom="1" header="0.5" footer="0.5"/>
  <pageSetup orientation="landscape" fitToHeight="0" fitToWidth="1"/>
</worksheet>
</file>

<file path=xl/worksheets/sheet4.xml><?xml version="1.0" encoding="utf-8"?>
<worksheet xmlns="http://schemas.openxmlformats.org/spreadsheetml/2006/main">
  <sheetPr>
    <tabColor rgb="00842C01"/>
    <outlinePr summaryBelow="1" summaryRight="1"/>
    <pageSetUpPr fitToPage="1"/>
  </sheetPr>
  <dimension ref="B1:Y104"/>
  <sheetViews>
    <sheetView showGridLines="0" zoomScale="100" workbookViewId="0">
      <selection activeCell="A1" sqref="A1"/>
    </sheetView>
  </sheetViews>
  <sheetFormatPr baseColWidth="8" defaultRowHeight="15"/>
  <cols>
    <col width="2" customWidth="1" min="1" max="1"/>
    <col width="50"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3" customWidth="1" min="17" max="17"/>
    <col hidden="1" outlineLevel="1" width="8" customWidth="1" min="21" max="25"/>
  </cols>
  <sheetData>
    <row r="1" ht="30" customHeight="1">
      <c r="B1" s="32" t="inlineStr">
        <is>
          <t>Scale · how costs fall as you grow</t>
        </is>
      </c>
    </row>
    <row r="2">
      <c r="B2" s="33" t="inlineStr">
        <is>
          <t>Two forces cut the cost of each new store: experience (crews and teams get faster) and price breaks (bigger orders, lower prices). The scale outlook on the Control Panel picks a column below.</t>
        </is>
      </c>
    </row>
    <row r="3">
      <c r="U3" s="73" t="inlineStr">
        <is>
          <t>Unit table: the nth store</t>
        </is>
      </c>
    </row>
    <row r="4" ht="20" customHeight="1">
      <c r="B4" s="4" t="inlineStr">
        <is>
          <t>Scale outlook presets (edit a column to redefine it)</t>
        </is>
      </c>
      <c r="C4" s="5" t="n"/>
      <c r="D4" s="5" t="n"/>
      <c r="E4" s="5" t="n"/>
      <c r="F4" s="5" t="n"/>
      <c r="G4" s="5" t="n"/>
      <c r="H4" s="5" t="n"/>
      <c r="I4" s="5" t="n"/>
      <c r="J4" s="5" t="n"/>
      <c r="K4" s="5" t="n"/>
      <c r="L4" s="5" t="n"/>
      <c r="M4" s="5" t="n"/>
      <c r="U4" s="81" t="inlineStr">
        <is>
          <t>n</t>
        </is>
      </c>
      <c r="V4" s="81" t="inlineStr">
        <is>
          <t>Learning</t>
        </is>
      </c>
      <c r="W4" s="81" t="inlineStr">
        <is>
          <t>Cumulative</t>
        </is>
      </c>
      <c r="X4" s="81" t="inlineStr">
        <is>
          <t>Price</t>
        </is>
      </c>
      <c r="Y4" s="81" t="inlineStr">
        <is>
          <t>Cumulative</t>
        </is>
      </c>
    </row>
    <row r="5">
      <c r="B5" s="10" t="inlineStr">
        <is>
          <t>Lever</t>
        </is>
      </c>
      <c r="C5" s="11" t="inlineStr">
        <is>
          <t>Cautious</t>
        </is>
      </c>
      <c r="D5" s="11" t="inlineStr">
        <is>
          <t>Expected</t>
        </is>
      </c>
      <c r="E5" s="11" t="inlineStr">
        <is>
          <t>Aggressive</t>
        </is>
      </c>
      <c r="F5" s="11" t="inlineStr">
        <is>
          <t>In use</t>
        </is>
      </c>
      <c r="G5" s="11" t="inlineStr">
        <is>
          <t>What it means</t>
        </is>
      </c>
      <c r="U5" s="82" t="n">
        <v>1</v>
      </c>
      <c r="V5" s="61">
        <f>MAX(LearnFloor,U5^LOG(LearnRate,2))</f>
        <v>1</v>
      </c>
      <c r="W5" s="61">
        <f>V5</f>
        <v>1</v>
      </c>
      <c r="X5" s="61">
        <f>1-IF(U5&gt;=PBAt4,PBDisc4,IF(U5&gt;=PBAt3,PBDisc3,IF(U5&gt;=PBAt2,PBDisc2,IF(U5&gt;=PBAt1,PBDisc1,0))))</f>
        <v>1</v>
      </c>
      <c r="Y5" s="61">
        <f>X5</f>
        <v>1</v>
      </c>
    </row>
    <row r="6">
      <c r="B6" s="8" t="inlineStr">
        <is>
          <t>Cost after each doubling of stores (learning rate)</t>
        </is>
      </c>
      <c r="C6" s="42" t="n">
        <v>0.95</v>
      </c>
      <c r="D6" s="42" t="n">
        <v>0.9</v>
      </c>
      <c r="E6" s="42" t="n">
        <v>0.85</v>
      </c>
      <c r="F6" s="83">
        <f>IF(LR_Call="",INDEX(C6:E6,MATCH(Outlook,OutlookList,0)),LR_Call)</f>
        <v>0.9</v>
      </c>
      <c r="G6" s="38" t="inlineStr">
        <is>
          <t>Wright's law: cost of store n = first store x n^log2(rate).</t>
        </is>
      </c>
      <c r="U6" s="82" t="n">
        <v>2</v>
      </c>
      <c r="V6" s="61">
        <f>MAX(LearnFloor,U6^LOG(LearnRate,2))</f>
        <v>0.9</v>
      </c>
      <c r="W6" s="61">
        <f>W5+V6</f>
        <v>1.9</v>
      </c>
      <c r="X6" s="61">
        <f>1-IF(U6&gt;=PBAt4,PBDisc4,IF(U6&gt;=PBAt3,PBDisc3,IF(U6&gt;=PBAt2,PBDisc2,IF(U6&gt;=PBAt1,PBDisc1,0))))</f>
        <v>1</v>
      </c>
      <c r="Y6" s="61">
        <f>Y5+X6</f>
        <v>2</v>
      </c>
    </row>
    <row r="7">
      <c r="B7" s="8" t="inlineStr">
        <is>
          <t>Learning floor (share of first-store cost)</t>
        </is>
      </c>
      <c r="C7" s="42" t="n">
        <v>0.8</v>
      </c>
      <c r="D7" s="42" t="n">
        <v>0.7</v>
      </c>
      <c r="E7" s="42" t="n">
        <v>0.6</v>
      </c>
      <c r="F7" s="83">
        <f>IF(LFloor_Call="",INDEX(C7:E7,MATCH(Outlook,OutlookList,0)),LFloor_Call)</f>
        <v>0.7</v>
      </c>
      <c r="G7" s="38" t="inlineStr">
        <is>
          <t>Labour-type lines never fall below this share.</t>
        </is>
      </c>
      <c r="U7" s="82" t="n">
        <v>3</v>
      </c>
      <c r="V7" s="61">
        <f>MAX(LearnFloor,U7^LOG(LearnRate,2))</f>
        <v>0.846205986312342</v>
      </c>
      <c r="W7" s="61">
        <f>W6+V7</f>
        <v>2.74620598631234</v>
      </c>
      <c r="X7" s="61">
        <f>1-IF(U7&gt;=PBAt4,PBDisc4,IF(U7&gt;=PBAt3,PBDisc3,IF(U7&gt;=PBAt2,PBDisc2,IF(U7&gt;=PBAt1,PBDisc1,0))))</f>
        <v>0.97</v>
      </c>
      <c r="Y7" s="61">
        <f>Y6+X7</f>
        <v>2.97</v>
      </c>
    </row>
    <row r="8">
      <c r="B8" s="8" t="inlineStr">
        <is>
          <t>Experience shared across store sizes</t>
        </is>
      </c>
      <c r="C8" s="42" t="n">
        <v>0.25</v>
      </c>
      <c r="D8" s="42" t="n">
        <v>0.5</v>
      </c>
      <c r="E8" s="42" t="n">
        <v>0.75</v>
      </c>
      <c r="F8" s="83">
        <f>IF(LShare_Call="",INDEX(C8:E8,MATCH(Outlook,OutlookList,0)),LShare_Call)</f>
        <v>0.5</v>
      </c>
      <c r="G8" s="38" t="inlineStr">
        <is>
          <t>How much a flagship's lessons help the small stores, and back.</t>
        </is>
      </c>
      <c r="U8" s="82" t="n">
        <v>4</v>
      </c>
      <c r="V8" s="61">
        <f>MAX(LearnFloor,U8^LOG(LearnRate,2))</f>
        <v>0.81</v>
      </c>
      <c r="W8" s="61">
        <f>W7+V8</f>
        <v>3.55620598631234</v>
      </c>
      <c r="X8" s="61">
        <f>1-IF(U8&gt;=PBAt4,PBDisc4,IF(U8&gt;=PBAt3,PBDisc3,IF(U8&gt;=PBAt2,PBDisc2,IF(U8&gt;=PBAt1,PBDisc1,0))))</f>
        <v>0.97</v>
      </c>
      <c r="Y8" s="61">
        <f>Y7+X8</f>
        <v>3.94</v>
      </c>
    </row>
    <row r="9">
      <c r="B9" s="8" t="inlineStr">
        <is>
          <t>Price break 1</t>
        </is>
      </c>
      <c r="C9" s="57" t="n">
        <v>0.02</v>
      </c>
      <c r="D9" s="57" t="n">
        <v>0.03</v>
      </c>
      <c r="E9" s="57" t="n">
        <v>0.05</v>
      </c>
      <c r="F9" s="84">
        <f>IF(BigBreak_Call="",INDEX(C9:E9,MATCH(Outlook,OutlookList,0)),IFERROR(INDEX(C9:E9,MATCH(Outlook,OutlookList,0))/INDEX($C$12:$E$12,MATCH(Outlook,OutlookList,0))*BigBreak_Call,BigBreak_Call))</f>
        <v>0.03</v>
      </c>
      <c r="G9" s="38" t="inlineStr">
        <is>
          <t>Off bought kit, from the store number below.</t>
        </is>
      </c>
      <c r="U9" s="82" t="n">
        <v>5</v>
      </c>
      <c r="V9" s="61">
        <f>MAX(LearnFloor,U9^LOG(LearnRate,2))</f>
        <v>0.782986721680384</v>
      </c>
      <c r="W9" s="61">
        <f>W8+V9</f>
        <v>4.33919270799273</v>
      </c>
      <c r="X9" s="61">
        <f>1-IF(U9&gt;=PBAt4,PBDisc4,IF(U9&gt;=PBAt3,PBDisc3,IF(U9&gt;=PBAt2,PBDisc2,IF(U9&gt;=PBAt1,PBDisc1,0))))</f>
        <v>0.97</v>
      </c>
      <c r="Y9" s="61">
        <f>Y8+X9</f>
        <v>4.91</v>
      </c>
    </row>
    <row r="10">
      <c r="B10" s="8" t="inlineStr">
        <is>
          <t>Price break 2</t>
        </is>
      </c>
      <c r="C10" s="57" t="n">
        <v>0.04</v>
      </c>
      <c r="D10" s="57" t="n">
        <v>0.07000000000000001</v>
      </c>
      <c r="E10" s="57" t="n">
        <v>0.09</v>
      </c>
      <c r="F10" s="84">
        <f>IF(BigBreak_Call="",INDEX(C10:E10,MATCH(Outlook,OutlookList,0)),IFERROR(INDEX(C10:E10,MATCH(Outlook,OutlookList,0))/INDEX($C$12:$E$12,MATCH(Outlook,OutlookList,0))*BigBreak_Call,BigBreak_Call))</f>
        <v>0.07</v>
      </c>
      <c r="G10" s="38" t="inlineStr"/>
      <c r="U10" s="82" t="n">
        <v>6</v>
      </c>
      <c r="V10" s="61">
        <f>MAX(LearnFloor,U10^LOG(LearnRate,2))</f>
        <v>0.761585387681108</v>
      </c>
      <c r="W10" s="61">
        <f>W9+V10</f>
        <v>5.10077809567383</v>
      </c>
      <c r="X10" s="61">
        <f>1-IF(U10&gt;=PBAt4,PBDisc4,IF(U10&gt;=PBAt3,PBDisc3,IF(U10&gt;=PBAt2,PBDisc2,IF(U10&gt;=PBAt1,PBDisc1,0))))</f>
        <v>0.97</v>
      </c>
      <c r="Y10" s="61">
        <f>Y9+X10</f>
        <v>5.88</v>
      </c>
    </row>
    <row r="11">
      <c r="B11" s="8" t="inlineStr">
        <is>
          <t>Price break 3</t>
        </is>
      </c>
      <c r="C11" s="57" t="n">
        <v>0.06</v>
      </c>
      <c r="D11" s="57" t="n">
        <v>0.1</v>
      </c>
      <c r="E11" s="57" t="n">
        <v>0.13</v>
      </c>
      <c r="F11" s="84">
        <f>IF(BigBreak_Call="",INDEX(C11:E11,MATCH(Outlook,OutlookList,0)),IFERROR(INDEX(C11:E11,MATCH(Outlook,OutlookList,0))/INDEX($C$12:$E$12,MATCH(Outlook,OutlookList,0))*BigBreak_Call,BigBreak_Call))</f>
        <v>0.1</v>
      </c>
      <c r="G11" s="38" t="inlineStr"/>
      <c r="U11" s="82" t="n">
        <v>7</v>
      </c>
      <c r="V11" s="61">
        <f>MAX(LearnFloor,U11^LOG(LearnRate,2))</f>
        <v>0.743947833982242</v>
      </c>
      <c r="W11" s="61">
        <f>W10+V11</f>
        <v>5.84472592965608</v>
      </c>
      <c r="X11" s="61">
        <f>1-IF(U11&gt;=PBAt4,PBDisc4,IF(U11&gt;=PBAt3,PBDisc3,IF(U11&gt;=PBAt2,PBDisc2,IF(U11&gt;=PBAt1,PBDisc1,0))))</f>
        <v>0.97</v>
      </c>
      <c r="Y11" s="61">
        <f>Y10+X11</f>
        <v>6.85</v>
      </c>
    </row>
    <row r="12">
      <c r="B12" s="8" t="inlineStr">
        <is>
          <t>Price break 4 (the biggest)</t>
        </is>
      </c>
      <c r="C12" s="57" t="n">
        <v>0.08</v>
      </c>
      <c r="D12" s="57" t="n">
        <v>0.14</v>
      </c>
      <c r="E12" s="57" t="n">
        <v>0.17</v>
      </c>
      <c r="F12" s="84">
        <f>IF(BigBreak_Call="",INDEX(C12:E12,MATCH(Outlook,OutlookList,0)),IFERROR(INDEX(C12:E12,MATCH(Outlook,OutlookList,0))/INDEX($C$12:$E$12,MATCH(Outlook,OutlookList,0))*BigBreak_Call,BigBreak_Call))</f>
        <v>0.14</v>
      </c>
      <c r="G12" s="38" t="inlineStr">
        <is>
          <t>Your call on the Control Panel sets this one; breaks 1 to 3 scale with it.</t>
        </is>
      </c>
      <c r="U12" s="82" t="n">
        <v>8</v>
      </c>
      <c r="V12" s="61">
        <f>MAX(LearnFloor,U12^LOG(LearnRate,2))</f>
        <v>0.729</v>
      </c>
      <c r="W12" s="61">
        <f>W11+V12</f>
        <v>6.57372592965608</v>
      </c>
      <c r="X12" s="61">
        <f>1-IF(U12&gt;=PBAt4,PBDisc4,IF(U12&gt;=PBAt3,PBDisc3,IF(U12&gt;=PBAt2,PBDisc2,IF(U12&gt;=PBAt1,PBDisc1,0))))</f>
        <v>0.93</v>
      </c>
      <c r="Y12" s="61">
        <f>Y11+X12</f>
        <v>7.78</v>
      </c>
    </row>
    <row r="13">
      <c r="B13" s="8" t="inlineStr">
        <is>
          <t>Software licence discount</t>
        </is>
      </c>
      <c r="C13" s="42" t="n">
        <v>0</v>
      </c>
      <c r="D13" s="42" t="n">
        <v>0.1</v>
      </c>
      <c r="E13" s="42" t="n">
        <v>0.2</v>
      </c>
      <c r="F13" s="83">
        <f>IF(LicDisc_Call="",INDEX(C13:E13,MATCH(Outlook,OutlookList,0)),LicDisc_Call)</f>
        <v>0.1</v>
      </c>
      <c r="G13" s="38" t="inlineStr">
        <is>
          <t>Off the list price of the in-store software.</t>
        </is>
      </c>
      <c r="U13" s="82" t="n">
        <v>9</v>
      </c>
      <c r="V13" s="61">
        <f>MAX(LearnFloor,U13^LOG(LearnRate,2))</f>
        <v>0.716064571270843</v>
      </c>
      <c r="W13" s="61">
        <f>W12+V13</f>
        <v>7.28979050092692</v>
      </c>
      <c r="X13" s="61">
        <f>1-IF(U13&gt;=PBAt4,PBDisc4,IF(U13&gt;=PBAt3,PBDisc3,IF(U13&gt;=PBAt2,PBDisc2,IF(U13&gt;=PBAt1,PBDisc1,0))))</f>
        <v>0.93</v>
      </c>
      <c r="Y13" s="61">
        <f>Y12+X13</f>
        <v>8.71</v>
      </c>
    </row>
    <row r="14">
      <c r="U14" s="82" t="n">
        <v>10</v>
      </c>
      <c r="V14" s="61">
        <f>MAX(LearnFloor,U14^LOG(LearnRate,2))</f>
        <v>0.704688049512346</v>
      </c>
      <c r="W14" s="61">
        <f>W13+V14</f>
        <v>7.99447855043927</v>
      </c>
      <c r="X14" s="61">
        <f>1-IF(U14&gt;=PBAt4,PBDisc4,IF(U14&gt;=PBAt3,PBDisc3,IF(U14&gt;=PBAt2,PBDisc2,IF(U14&gt;=PBAt1,PBDisc1,0))))</f>
        <v>0.93</v>
      </c>
      <c r="Y14" s="61">
        <f>Y13+X14</f>
        <v>9.64</v>
      </c>
    </row>
    <row r="15" ht="20" customHeight="1">
      <c r="B15" s="4" t="inlineStr">
        <is>
          <t>Where the price breaks start (stores bought so far, all sizes together)</t>
        </is>
      </c>
      <c r="C15" s="5" t="n"/>
      <c r="D15" s="5" t="n"/>
      <c r="E15" s="5" t="n"/>
      <c r="F15" s="5" t="n"/>
      <c r="G15" s="5" t="n"/>
      <c r="H15" s="5" t="n"/>
      <c r="I15" s="5" t="n"/>
      <c r="J15" s="5" t="n"/>
      <c r="K15" s="5" t="n"/>
      <c r="L15" s="5" t="n"/>
      <c r="M15" s="5" t="n"/>
      <c r="U15" s="82" t="n">
        <v>11</v>
      </c>
      <c r="V15" s="61">
        <f>MAX(LearnFloor,U15^LOG(LearnRate,2))</f>
        <v>0.7</v>
      </c>
      <c r="W15" s="61">
        <f>W14+V15</f>
        <v>8.69447855043927</v>
      </c>
      <c r="X15" s="61">
        <f>1-IF(U15&gt;=PBAt4,PBDisc4,IF(U15&gt;=PBAt3,PBDisc3,IF(U15&gt;=PBAt2,PBDisc2,IF(U15&gt;=PBAt1,PBDisc1,0))))</f>
        <v>0.93</v>
      </c>
      <c r="Y15" s="61">
        <f>Y14+X15</f>
        <v>10.57</v>
      </c>
    </row>
    <row r="16">
      <c r="B16" s="10" t="inlineStr">
        <is>
          <t>Step</t>
        </is>
      </c>
      <c r="C16" s="11" t="inlineStr">
        <is>
          <t>From store number</t>
        </is>
      </c>
      <c r="D16" s="11" t="inlineStr">
        <is>
          <t>Discount in use</t>
        </is>
      </c>
      <c r="E16" s="11" t="inlineStr"/>
      <c r="F16" s="11" t="inlineStr"/>
      <c r="G16" s="11" t="inlineStr"/>
      <c r="U16" s="82" t="n">
        <v>12</v>
      </c>
      <c r="V16" s="61">
        <f>MAX(LearnFloor,U16^LOG(LearnRate,2))</f>
        <v>0.7</v>
      </c>
      <c r="W16" s="61">
        <f>W15+V16</f>
        <v>9.39447855043927</v>
      </c>
      <c r="X16" s="61">
        <f>1-IF(U16&gt;=PBAt4,PBDisc4,IF(U16&gt;=PBAt3,PBDisc3,IF(U16&gt;=PBAt2,PBDisc2,IF(U16&gt;=PBAt1,PBDisc1,0))))</f>
        <v>0.93</v>
      </c>
      <c r="Y16" s="61">
        <f>Y15+X16</f>
        <v>11.5</v>
      </c>
    </row>
    <row r="17">
      <c r="B17" s="8" t="inlineStr">
        <is>
          <t>Price break 1</t>
        </is>
      </c>
      <c r="C17" s="36" t="n">
        <v>3</v>
      </c>
      <c r="D17" s="41">
        <f>F9</f>
        <v>0.03</v>
      </c>
      <c r="G17" s="38" t="inlineStr">
        <is>
          <t>With 'Pay as you grow', store 12 pays the price for 8+ stores; with 'Commit', every store pays the price for the whole plan.</t>
        </is>
      </c>
      <c r="U17" s="82" t="n">
        <v>13</v>
      </c>
      <c r="V17" s="61">
        <f>MAX(LearnFloor,U17^LOG(LearnRate,2))</f>
        <v>0.7</v>
      </c>
      <c r="W17" s="61">
        <f>W16+V17</f>
        <v>10.0944785504393</v>
      </c>
      <c r="X17" s="61">
        <f>1-IF(U17&gt;=PBAt4,PBDisc4,IF(U17&gt;=PBAt3,PBDisc3,IF(U17&gt;=PBAt2,PBDisc2,IF(U17&gt;=PBAt1,PBDisc1,0))))</f>
        <v>0.93</v>
      </c>
      <c r="Y17" s="61">
        <f>Y16+X17</f>
        <v>12.43</v>
      </c>
    </row>
    <row r="18">
      <c r="B18" s="8" t="inlineStr">
        <is>
          <t>Price break 2</t>
        </is>
      </c>
      <c r="C18" s="36" t="n">
        <v>8</v>
      </c>
      <c r="D18" s="41">
        <f>F10</f>
        <v>0.07</v>
      </c>
      <c r="U18" s="82" t="n">
        <v>14</v>
      </c>
      <c r="V18" s="61">
        <f>MAX(LearnFloor,U18^LOG(LearnRate,2))</f>
        <v>0.7</v>
      </c>
      <c r="W18" s="61">
        <f>W17+V18</f>
        <v>10.7944785504393</v>
      </c>
      <c r="X18" s="61">
        <f>1-IF(U18&gt;=PBAt4,PBDisc4,IF(U18&gt;=PBAt3,PBDisc3,IF(U18&gt;=PBAt2,PBDisc2,IF(U18&gt;=PBAt1,PBDisc1,0))))</f>
        <v>0.93</v>
      </c>
      <c r="Y18" s="61">
        <f>Y17+X18</f>
        <v>13.36</v>
      </c>
    </row>
    <row r="19">
      <c r="B19" s="8" t="inlineStr">
        <is>
          <t>Price break 3</t>
        </is>
      </c>
      <c r="C19" s="36" t="n">
        <v>15</v>
      </c>
      <c r="D19" s="41">
        <f>F11</f>
        <v>0.1</v>
      </c>
      <c r="U19" s="82" t="n">
        <v>15</v>
      </c>
      <c r="V19" s="61">
        <f>MAX(LearnFloor,U19^LOG(LearnRate,2))</f>
        <v>0.7</v>
      </c>
      <c r="W19" s="61">
        <f>W18+V19</f>
        <v>11.4944785504393</v>
      </c>
      <c r="X19" s="61">
        <f>1-IF(U19&gt;=PBAt4,PBDisc4,IF(U19&gt;=PBAt3,PBDisc3,IF(U19&gt;=PBAt2,PBDisc2,IF(U19&gt;=PBAt1,PBDisc1,0))))</f>
        <v>0.9</v>
      </c>
      <c r="Y19" s="61">
        <f>Y18+X19</f>
        <v>14.26</v>
      </c>
    </row>
    <row r="20">
      <c r="B20" s="8" t="inlineStr">
        <is>
          <t>Price break 4</t>
        </is>
      </c>
      <c r="C20" s="36" t="n">
        <v>30</v>
      </c>
      <c r="D20" s="41">
        <f>F12</f>
        <v>0.14</v>
      </c>
      <c r="U20" s="82" t="n">
        <v>16</v>
      </c>
      <c r="V20" s="61">
        <f>MAX(LearnFloor,U20^LOG(LearnRate,2))</f>
        <v>0.7</v>
      </c>
      <c r="W20" s="61">
        <f>W19+V20</f>
        <v>12.1944785504393</v>
      </c>
      <c r="X20" s="61">
        <f>1-IF(U20&gt;=PBAt4,PBDisc4,IF(U20&gt;=PBAt3,PBDisc3,IF(U20&gt;=PBAt2,PBDisc2,IF(U20&gt;=PBAt1,PBDisc1,0))))</f>
        <v>0.9</v>
      </c>
      <c r="Y20" s="61">
        <f>Y19+X20</f>
        <v>15.16</v>
      </c>
    </row>
    <row r="21">
      <c r="U21" s="82" t="n">
        <v>17</v>
      </c>
      <c r="V21" s="61">
        <f>MAX(LearnFloor,U21^LOG(LearnRate,2))</f>
        <v>0.7</v>
      </c>
      <c r="W21" s="61">
        <f>W20+V21</f>
        <v>12.8944785504393</v>
      </c>
      <c r="X21" s="61">
        <f>1-IF(U21&gt;=PBAt4,PBDisc4,IF(U21&gt;=PBAt3,PBDisc3,IF(U21&gt;=PBAt2,PBDisc2,IF(U21&gt;=PBAt1,PBDisc1,0))))</f>
        <v>0.9</v>
      </c>
      <c r="Y21" s="61">
        <f>Y20+X21</f>
        <v>16.06</v>
      </c>
    </row>
    <row r="22" ht="20" customHeight="1">
      <c r="B22" s="4" t="inlineStr">
        <is>
          <t>Each store's cost, split by how it falls (first store, from the Switchboard)</t>
        </is>
      </c>
      <c r="C22" s="5" t="n"/>
      <c r="D22" s="5" t="n"/>
      <c r="E22" s="5" t="n"/>
      <c r="F22" s="5" t="n"/>
      <c r="G22" s="5" t="n"/>
      <c r="H22" s="5" t="n"/>
      <c r="I22" s="5" t="n"/>
      <c r="J22" s="5" t="n"/>
      <c r="K22" s="5" t="n"/>
      <c r="L22" s="5" t="n"/>
      <c r="M22" s="5" t="n"/>
      <c r="U22" s="82" t="n">
        <v>18</v>
      </c>
      <c r="V22" s="61">
        <f>MAX(LearnFloor,U22^LOG(LearnRate,2))</f>
        <v>0.7</v>
      </c>
      <c r="W22" s="61">
        <f>W21+V22</f>
        <v>13.5944785504393</v>
      </c>
      <c r="X22" s="61">
        <f>1-IF(U22&gt;=PBAt4,PBDisc4,IF(U22&gt;=PBAt3,PBDisc3,IF(U22&gt;=PBAt2,PBDisc2,IF(U22&gt;=PBAt1,PBDisc1,0))))</f>
        <v>0.9</v>
      </c>
      <c r="Y22" s="61">
        <f>Y21+X22</f>
        <v>16.96</v>
      </c>
    </row>
    <row r="23">
      <c r="B23" s="10" t="inlineStr"/>
      <c r="C23" s="28" t="inlineStr">
        <is>
          <t>SPLUS</t>
        </is>
      </c>
      <c r="D23" s="29" t="inlineStr">
        <is>
          <t>S</t>
        </is>
      </c>
      <c r="E23" s="30" t="inlineStr">
        <is>
          <t>D</t>
        </is>
      </c>
      <c r="F23" s="11" t="inlineStr"/>
      <c r="G23" s="11" t="inlineStr">
        <is>
          <t>Notes</t>
        </is>
      </c>
      <c r="U23" s="82" t="n">
        <v>19</v>
      </c>
      <c r="V23" s="61">
        <f>MAX(LearnFloor,U23^LOG(LearnRate,2))</f>
        <v>0.7</v>
      </c>
      <c r="W23" s="61">
        <f>W22+V23</f>
        <v>14.2944785504393</v>
      </c>
      <c r="X23" s="61">
        <f>1-IF(U23&gt;=PBAt4,PBDisc4,IF(U23&gt;=PBAt3,PBDisc3,IF(U23&gt;=PBAt2,PBDisc2,IF(U23&gt;=PBAt1,PBDisc1,0))))</f>
        <v>0.9</v>
      </c>
      <c r="Y23" s="61">
        <f>Y22+X23</f>
        <v>17.86</v>
      </c>
    </row>
    <row r="24">
      <c r="B24" s="8" t="inlineStr">
        <is>
          <t>Learning (labour, services, project costs)</t>
        </is>
      </c>
      <c r="C24" s="37">
        <f>SUMIFS(Switchboard!J$16:J$45,Switchboard!$Q$16:$Q$45,"Learning")</f>
        <v>618130</v>
      </c>
      <c r="D24" s="37">
        <f>SUMIFS(Switchboard!K$16:K$45,Switchboard!$Q$16:$Q$45,"Learning")</f>
        <v>361225</v>
      </c>
      <c r="E24" s="37">
        <f>SUMIFS(Switchboard!L$16:L$45,Switchboard!$Q$16:$Q$45,"Learning")</f>
        <v>208640</v>
      </c>
      <c r="G24" s="38" t="inlineStr">
        <is>
          <t>Store n's build = Learning x learning factor + Price breaks x price factor + No scale effect.</t>
        </is>
      </c>
      <c r="U24" s="82" t="n">
        <v>20</v>
      </c>
      <c r="V24" s="61">
        <f>MAX(LearnFloor,U24^LOG(LearnRate,2))</f>
        <v>0.7</v>
      </c>
      <c r="W24" s="61">
        <f>W23+V24</f>
        <v>14.9944785504393</v>
      </c>
      <c r="X24" s="61">
        <f>1-IF(U24&gt;=PBAt4,PBDisc4,IF(U24&gt;=PBAt3,PBDisc3,IF(U24&gt;=PBAt2,PBDisc2,IF(U24&gt;=PBAt1,PBDisc1,0))))</f>
        <v>0.9</v>
      </c>
      <c r="Y24" s="61">
        <f>Y23+X24</f>
        <v>18.76</v>
      </c>
    </row>
    <row r="25">
      <c r="B25" s="8" t="inlineStr">
        <is>
          <t>Price breaks (bought kit)</t>
        </is>
      </c>
      <c r="C25" s="37">
        <f>SUMIFS(Switchboard!J$16:J$45,Switchboard!$Q$16:$Q$45,"Price breaks")</f>
        <v>552400</v>
      </c>
      <c r="D25" s="37">
        <f>SUMIFS(Switchboard!K$16:K$45,Switchboard!$Q$16:$Q$45,"Price breaks")</f>
        <v>296200</v>
      </c>
      <c r="E25" s="37">
        <f>SUMIFS(Switchboard!L$16:L$45,Switchboard!$Q$16:$Q$45,"Price breaks")</f>
        <v>151300</v>
      </c>
      <c r="U25" s="82" t="n">
        <v>21</v>
      </c>
      <c r="V25" s="61">
        <f>MAX(LearnFloor,U25^LOG(LearnRate,2))</f>
        <v>0.7</v>
      </c>
      <c r="W25" s="61">
        <f>W24+V25</f>
        <v>15.6944785504393</v>
      </c>
      <c r="X25" s="61">
        <f>1-IF(U25&gt;=PBAt4,PBDisc4,IF(U25&gt;=PBAt3,PBDisc3,IF(U25&gt;=PBAt2,PBDisc2,IF(U25&gt;=PBAt1,PBDisc1,0))))</f>
        <v>0.9</v>
      </c>
      <c r="Y25" s="61">
        <f>Y24+X25</f>
        <v>19.66</v>
      </c>
    </row>
    <row r="26">
      <c r="B26" s="8" t="inlineStr">
        <is>
          <t>No scale effect</t>
        </is>
      </c>
      <c r="C26" s="37">
        <f>SUMIFS(Switchboard!J$16:J$45,Switchboard!$Q$16:$Q$45,"No scale effect")</f>
        <v>245800</v>
      </c>
      <c r="D26" s="37">
        <f>SUMIFS(Switchboard!K$16:K$45,Switchboard!$Q$16:$Q$45,"No scale effect")</f>
        <v>142200</v>
      </c>
      <c r="E26" s="37">
        <f>SUMIFS(Switchboard!L$16:L$45,Switchboard!$Q$16:$Q$45,"No scale effect")</f>
        <v>93100</v>
      </c>
      <c r="U26" s="82" t="n">
        <v>22</v>
      </c>
      <c r="V26" s="61">
        <f>MAX(LearnFloor,U26^LOG(LearnRate,2))</f>
        <v>0.7</v>
      </c>
      <c r="W26" s="61">
        <f>W25+V26</f>
        <v>16.3944785504393</v>
      </c>
      <c r="X26" s="61">
        <f>1-IF(U26&gt;=PBAt4,PBDisc4,IF(U26&gt;=PBAt3,PBDisc3,IF(U26&gt;=PBAt2,PBDisc2,IF(U26&gt;=PBAt1,PBDisc1,0))))</f>
        <v>0.9</v>
      </c>
      <c r="Y26" s="61">
        <f>Y25+X26</f>
        <v>20.56</v>
      </c>
    </row>
    <row r="27">
      <c r="B27" s="34" t="inlineStr">
        <is>
          <t>Store build, first store</t>
        </is>
      </c>
      <c r="C27" s="80">
        <f>SUM(C24:C26)</f>
        <v>1416330</v>
      </c>
      <c r="D27" s="80">
        <f>SUM(D24:D26)</f>
        <v>799625</v>
      </c>
      <c r="E27" s="80">
        <f>SUM(E24:E26)</f>
        <v>453040</v>
      </c>
      <c r="U27" s="82" t="n">
        <v>23</v>
      </c>
      <c r="V27" s="61">
        <f>MAX(LearnFloor,U27^LOG(LearnRate,2))</f>
        <v>0.7</v>
      </c>
      <c r="W27" s="61">
        <f>W26+V27</f>
        <v>17.0944785504393</v>
      </c>
      <c r="X27" s="61">
        <f>1-IF(U27&gt;=PBAt4,PBDisc4,IF(U27&gt;=PBAt3,PBDisc3,IF(U27&gt;=PBAt2,PBDisc2,IF(U27&gt;=PBAt1,PBDisc1,0))))</f>
        <v>0.9</v>
      </c>
      <c r="Y27" s="61">
        <f>Y26+X27</f>
        <v>21.46</v>
      </c>
    </row>
    <row r="28">
      <c r="U28" s="82" t="n">
        <v>24</v>
      </c>
      <c r="V28" s="61">
        <f>MAX(LearnFloor,U28^LOG(LearnRate,2))</f>
        <v>0.7</v>
      </c>
      <c r="W28" s="61">
        <f>W27+V28</f>
        <v>17.7944785504393</v>
      </c>
      <c r="X28" s="61">
        <f>1-IF(U28&gt;=PBAt4,PBDisc4,IF(U28&gt;=PBAt3,PBDisc3,IF(U28&gt;=PBAt2,PBDisc2,IF(U28&gt;=PBAt1,PBDisc1,0))))</f>
        <v>0.9</v>
      </c>
      <c r="Y28" s="61">
        <f>Y27+X28</f>
        <v>22.36</v>
      </c>
    </row>
    <row r="29" ht="20" customHeight="1">
      <c r="B29" s="4" t="inlineStr">
        <is>
          <t>If every store were one size: average build per store</t>
        </is>
      </c>
      <c r="C29" s="5" t="n"/>
      <c r="D29" s="5" t="n"/>
      <c r="E29" s="5" t="n"/>
      <c r="F29" s="5" t="n"/>
      <c r="G29" s="5" t="n"/>
      <c r="H29" s="5" t="n"/>
      <c r="I29" s="5" t="n"/>
      <c r="J29" s="5" t="n"/>
      <c r="K29" s="5" t="n"/>
      <c r="L29" s="5" t="n"/>
      <c r="M29" s="5" t="n"/>
      <c r="N29" s="5" t="n"/>
      <c r="O29" s="5" t="n"/>
      <c r="P29" s="5" t="n"/>
      <c r="U29" s="82" t="n">
        <v>25</v>
      </c>
      <c r="V29" s="61">
        <f>MAX(LearnFloor,U29^LOG(LearnRate,2))</f>
        <v>0.7</v>
      </c>
      <c r="W29" s="61">
        <f>W28+V29</f>
        <v>18.4944785504393</v>
      </c>
      <c r="X29" s="61">
        <f>1-IF(U29&gt;=PBAt4,PBDisc4,IF(U29&gt;=PBAt3,PBDisc3,IF(U29&gt;=PBAt2,PBDisc2,IF(U29&gt;=PBAt1,PBDisc1,0))))</f>
        <v>0.9</v>
      </c>
      <c r="Y29" s="61">
        <f>Y28+X29</f>
        <v>23.26</v>
      </c>
    </row>
    <row r="30" ht="30" customHeight="1">
      <c r="B30" s="10" t="inlineStr">
        <is>
          <t>Stores of one size</t>
        </is>
      </c>
      <c r="C30" s="11" t="inlineStr">
        <is>
          <t>Learning factor (avg)</t>
        </is>
      </c>
      <c r="D30" s="11" t="inlineStr">
        <is>
          <t>Price factor (avg)</t>
        </is>
      </c>
      <c r="E30" s="28" t="inlineStr">
        <is>
          <t>SPLUS average</t>
        </is>
      </c>
      <c r="F30" s="29" t="inlineStr">
        <is>
          <t>S average</t>
        </is>
      </c>
      <c r="G30" s="30" t="inlineStr">
        <is>
          <t>D average</t>
        </is>
      </c>
      <c r="H30" s="11" t="inlineStr">
        <is>
          <t>SPLUS + one-time</t>
        </is>
      </c>
      <c r="I30" s="11" t="inlineStr">
        <is>
          <t>S + one-time</t>
        </is>
      </c>
      <c r="J30" s="11" t="inlineStr">
        <is>
          <t>D + one-time</t>
        </is>
      </c>
      <c r="K30" s="28" t="inlineStr">
        <is>
          <t>SPLUS per area</t>
        </is>
      </c>
      <c r="L30" s="29" t="inlineStr">
        <is>
          <t>S per area</t>
        </is>
      </c>
      <c r="M30" s="30" t="inlineStr">
        <is>
          <t>D per area</t>
        </is>
      </c>
      <c r="N30" s="28" t="inlineStr">
        <is>
          <t>SPLUS vs first store</t>
        </is>
      </c>
      <c r="O30" s="29" t="inlineStr">
        <is>
          <t>S vs first store</t>
        </is>
      </c>
      <c r="P30" s="30" t="inlineStr">
        <is>
          <t>D vs first store</t>
        </is>
      </c>
      <c r="U30" s="82" t="n">
        <v>26</v>
      </c>
      <c r="V30" s="61">
        <f>MAX(LearnFloor,U30^LOG(LearnRate,2))</f>
        <v>0.7</v>
      </c>
      <c r="W30" s="61">
        <f>W29+V30</f>
        <v>19.1944785504393</v>
      </c>
      <c r="X30" s="61">
        <f>1-IF(U30&gt;=PBAt4,PBDisc4,IF(U30&gt;=PBAt3,PBDisc3,IF(U30&gt;=PBAt2,PBDisc2,IF(U30&gt;=PBAt1,PBDisc1,0))))</f>
        <v>0.9</v>
      </c>
      <c r="Y30" s="61">
        <f>Y29+X30</f>
        <v>24.16</v>
      </c>
    </row>
    <row r="31">
      <c r="B31" s="36" t="n">
        <v>1</v>
      </c>
      <c r="C31" s="85">
        <f>INDEX($W$5:$W$104,B31)/B31</f>
        <v>1</v>
      </c>
      <c r="D31" s="85">
        <f>IF(Deal="Commit to the full plan",1-IF(B31&gt;=PBAt4,PBDisc4,IF(B31&gt;=PBAt3,PBDisc3,IF(B31&gt;=PBAt2,PBDisc2,IF(B31&gt;=PBAt1,PBDisc1,0)))),INDEX($Y$5:$Y$104,B31)/B31)</f>
        <v>1</v>
      </c>
      <c r="E31" s="39">
        <f>C$24*$C31+C$25*$D31+C$26</f>
        <v>1416330</v>
      </c>
      <c r="F31" s="39">
        <f>D$24*$C31+D$25*$D31+D$26</f>
        <v>799625</v>
      </c>
      <c r="G31" s="39">
        <f>E$24*$C31+E$25*$D31+E$26</f>
        <v>453040</v>
      </c>
      <c r="H31" s="39">
        <f>E31+(INDEX(FormatOnce,1)+ProgramOnce)/$B31</f>
        <v>1992330</v>
      </c>
      <c r="I31" s="39">
        <f>F31+(INDEX(FormatOnce,2)+ProgramOnce)/$B31</f>
        <v>1272625</v>
      </c>
      <c r="J31" s="39">
        <f>G31+(INDEX(FormatOnce,3)+ProgramOnce)/$B31</f>
        <v>874040</v>
      </c>
      <c r="K31" s="39">
        <f>E31/Area_SPLUS*AreaFactor</f>
        <v>416.567647058824</v>
      </c>
      <c r="L31" s="39">
        <f>F31/Area_S*AreaFactor</f>
        <v>484.621212121212</v>
      </c>
      <c r="M31" s="39">
        <f>G31/Area_D*AreaFactor</f>
        <v>503.377777777778</v>
      </c>
      <c r="N31" s="45">
        <f>IFERROR(E31/E$31,0)</f>
        <v>1</v>
      </c>
      <c r="O31" s="45">
        <f>IFERROR(F31/F$31,0)</f>
        <v>1</v>
      </c>
      <c r="P31" s="45">
        <f>IFERROR(G31/G$31,0)</f>
        <v>1</v>
      </c>
      <c r="U31" s="82" t="n">
        <v>27</v>
      </c>
      <c r="V31" s="61">
        <f>MAX(LearnFloor,U31^LOG(LearnRate,2))</f>
        <v>0.7</v>
      </c>
      <c r="W31" s="61">
        <f>W30+V31</f>
        <v>19.8944785504393</v>
      </c>
      <c r="X31" s="61">
        <f>1-IF(U31&gt;=PBAt4,PBDisc4,IF(U31&gt;=PBAt3,PBDisc3,IF(U31&gt;=PBAt2,PBDisc2,IF(U31&gt;=PBAt1,PBDisc1,0))))</f>
        <v>0.9</v>
      </c>
      <c r="Y31" s="61">
        <f>Y30+X31</f>
        <v>25.06</v>
      </c>
    </row>
    <row r="32">
      <c r="B32" s="36" t="n">
        <v>2</v>
      </c>
      <c r="C32" s="85">
        <f>INDEX($W$5:$W$104,B32)/B32</f>
        <v>0.95</v>
      </c>
      <c r="D32" s="85">
        <f>IF(Deal="Commit to the full plan",1-IF(B32&gt;=PBAt4,PBDisc4,IF(B32&gt;=PBAt3,PBDisc3,IF(B32&gt;=PBAt2,PBDisc2,IF(B32&gt;=PBAt1,PBDisc1,0)))),INDEX($Y$5:$Y$104,B32)/B32)</f>
        <v>1</v>
      </c>
      <c r="E32" s="39">
        <f>C$24*$C32+C$25*$D32+C$26</f>
        <v>1385423.5</v>
      </c>
      <c r="F32" s="39">
        <f>D$24*$C32+D$25*$D32+D$26</f>
        <v>781563.75</v>
      </c>
      <c r="G32" s="39">
        <f>E$24*$C32+E$25*$D32+E$26</f>
        <v>442608</v>
      </c>
      <c r="H32" s="39">
        <f>E32+(INDEX(FormatOnce,1)+ProgramOnce)/$B32</f>
        <v>1673423.5</v>
      </c>
      <c r="I32" s="39">
        <f>F32+(INDEX(FormatOnce,2)+ProgramOnce)/$B32</f>
        <v>1018063.75</v>
      </c>
      <c r="J32" s="39">
        <f>G32+(INDEX(FormatOnce,3)+ProgramOnce)/$B32</f>
        <v>653108</v>
      </c>
      <c r="K32" s="39">
        <f>E32/Area_SPLUS*AreaFactor</f>
        <v>407.4775</v>
      </c>
      <c r="L32" s="39">
        <f>F32/Area_S*AreaFactor</f>
        <v>473.675</v>
      </c>
      <c r="M32" s="39">
        <f>G32/Area_D*AreaFactor</f>
        <v>491.786666666667</v>
      </c>
      <c r="N32" s="45">
        <f>IFERROR(E32/E$31,0)</f>
        <v>0.978178461234317</v>
      </c>
      <c r="O32" s="45">
        <f>IFERROR(F32/F$31,0)</f>
        <v>0.977412849773331</v>
      </c>
      <c r="P32" s="45">
        <f>IFERROR(G32/G$31,0)</f>
        <v>0.976973335687798</v>
      </c>
      <c r="U32" s="82" t="n">
        <v>28</v>
      </c>
      <c r="V32" s="61">
        <f>MAX(LearnFloor,U32^LOG(LearnRate,2))</f>
        <v>0.7</v>
      </c>
      <c r="W32" s="61">
        <f>W31+V32</f>
        <v>20.5944785504393</v>
      </c>
      <c r="X32" s="61">
        <f>1-IF(U32&gt;=PBAt4,PBDisc4,IF(U32&gt;=PBAt3,PBDisc3,IF(U32&gt;=PBAt2,PBDisc2,IF(U32&gt;=PBAt1,PBDisc1,0))))</f>
        <v>0.9</v>
      </c>
      <c r="Y32" s="61">
        <f>Y31+X32</f>
        <v>25.96</v>
      </c>
    </row>
    <row r="33">
      <c r="B33" s="36" t="n">
        <v>3</v>
      </c>
      <c r="C33" s="85">
        <f>INDEX($W$5:$W$104,B33)/B33</f>
        <v>0.915401995437447</v>
      </c>
      <c r="D33" s="85">
        <f>IF(Deal="Commit to the full plan",1-IF(B33&gt;=PBAt4,PBDisc4,IF(B33&gt;=PBAt3,PBDisc3,IF(B33&gt;=PBAt2,PBDisc2,IF(B33&gt;=PBAt1,PBDisc1,0)))),INDEX($Y$5:$Y$104,B33)/B33)</f>
        <v>0.99</v>
      </c>
      <c r="E33" s="39">
        <f>C$24*$C33+C$25*$D33+C$26</f>
        <v>1358513.43543975</v>
      </c>
      <c r="F33" s="39">
        <f>D$24*$C33+D$25*$D33+D$26</f>
        <v>766104.085801892</v>
      </c>
      <c r="G33" s="39">
        <f>E$24*$C33+E$25*$D33+E$26</f>
        <v>433876.472328069</v>
      </c>
      <c r="H33" s="39">
        <f>E33+(INDEX(FormatOnce,1)+ProgramOnce)/$B33</f>
        <v>1550513.43543975</v>
      </c>
      <c r="I33" s="39">
        <f>F33+(INDEX(FormatOnce,2)+ProgramOnce)/$B33</f>
        <v>923770.752468558</v>
      </c>
      <c r="J33" s="39">
        <f>G33+(INDEX(FormatOnce,3)+ProgramOnce)/$B33</f>
        <v>574209.805661402</v>
      </c>
      <c r="K33" s="39">
        <f>E33/Area_SPLUS*AreaFactor</f>
        <v>399.562775129338</v>
      </c>
      <c r="L33" s="39">
        <f>F33/Area_S*AreaFactor</f>
        <v>464.305506546601</v>
      </c>
      <c r="M33" s="39">
        <f>G33/Area_D*AreaFactor</f>
        <v>482.08496925341</v>
      </c>
      <c r="N33" s="45">
        <f>IFERROR(E33/E$31,0)</f>
        <v>0.959178606285081</v>
      </c>
      <c r="O33" s="45">
        <f>IFERROR(F33/F$31,0)</f>
        <v>0.95807920688059</v>
      </c>
      <c r="P33" s="45">
        <f>IFERROR(G33/G$31,0)</f>
        <v>0.957700141992029</v>
      </c>
      <c r="U33" s="82" t="n">
        <v>29</v>
      </c>
      <c r="V33" s="61">
        <f>MAX(LearnFloor,U33^LOG(LearnRate,2))</f>
        <v>0.7</v>
      </c>
      <c r="W33" s="61">
        <f>W32+V33</f>
        <v>21.2944785504393</v>
      </c>
      <c r="X33" s="61">
        <f>1-IF(U33&gt;=PBAt4,PBDisc4,IF(U33&gt;=PBAt3,PBDisc3,IF(U33&gt;=PBAt2,PBDisc2,IF(U33&gt;=PBAt1,PBDisc1,0))))</f>
        <v>0.9</v>
      </c>
      <c r="Y33" s="61">
        <f>Y32+X33</f>
        <v>26.86</v>
      </c>
    </row>
    <row r="34">
      <c r="B34" s="36" t="n">
        <v>5</v>
      </c>
      <c r="C34" s="85">
        <f>INDEX($W$5:$W$104,B34)/B34</f>
        <v>0.867838541598545</v>
      </c>
      <c r="D34" s="85">
        <f>IF(Deal="Commit to the full plan",1-IF(B34&gt;=PBAt4,PBDisc4,IF(B34&gt;=PBAt3,PBDisc3,IF(B34&gt;=PBAt2,PBDisc2,IF(B34&gt;=PBAt1,PBDisc1,0)))),INDEX($Y$5:$Y$104,B34)/B34)</f>
        <v>0.982</v>
      </c>
      <c r="E34" s="39">
        <f>C$24*$C34+C$25*$D34+C$26</f>
        <v>1324693.83771831</v>
      </c>
      <c r="F34" s="39">
        <f>D$24*$C34+D$25*$D34+D$26</f>
        <v>746553.377188935</v>
      </c>
      <c r="G34" s="39">
        <f>E$24*$C34+E$25*$D34+E$26</f>
        <v>422742.43331912</v>
      </c>
      <c r="H34" s="39">
        <f>E34+(INDEX(FormatOnce,1)+ProgramOnce)/$B34</f>
        <v>1439893.83771831</v>
      </c>
      <c r="I34" s="39">
        <f>F34+(INDEX(FormatOnce,2)+ProgramOnce)/$B34</f>
        <v>841153.377188935</v>
      </c>
      <c r="J34" s="39">
        <f>G34+(INDEX(FormatOnce,3)+ProgramOnce)/$B34</f>
        <v>506942.43331912</v>
      </c>
      <c r="K34" s="39">
        <f>E34/Area_SPLUS*AreaFactor</f>
        <v>389.615834623032</v>
      </c>
      <c r="L34" s="39">
        <f>F34/Area_S*AreaFactor</f>
        <v>452.456592235718</v>
      </c>
      <c r="M34" s="39">
        <f>G34/Area_D*AreaFactor</f>
        <v>469.713814799023</v>
      </c>
      <c r="N34" s="45">
        <f>IFERROR(E34/E$31,0)</f>
        <v>0.935300274454618</v>
      </c>
      <c r="O34" s="45">
        <f>IFERROR(F34/F$31,0)</f>
        <v>0.933629360248785</v>
      </c>
      <c r="P34" s="45">
        <f>IFERROR(G34/G$31,0)</f>
        <v>0.933123859524811</v>
      </c>
      <c r="U34" s="82" t="n">
        <v>30</v>
      </c>
      <c r="V34" s="61">
        <f>MAX(LearnFloor,U34^LOG(LearnRate,2))</f>
        <v>0.7</v>
      </c>
      <c r="W34" s="61">
        <f>W33+V34</f>
        <v>21.9944785504393</v>
      </c>
      <c r="X34" s="61">
        <f>1-IF(U34&gt;=PBAt4,PBDisc4,IF(U34&gt;=PBAt3,PBDisc3,IF(U34&gt;=PBAt2,PBDisc2,IF(U34&gt;=PBAt1,PBDisc1,0))))</f>
        <v>0.86</v>
      </c>
      <c r="Y34" s="61">
        <f>Y33+X34</f>
        <v>27.72</v>
      </c>
    </row>
    <row r="35">
      <c r="B35" s="36" t="n">
        <v>8</v>
      </c>
      <c r="C35" s="85">
        <f>INDEX($W$5:$W$104,B35)/B35</f>
        <v>0.82171574120701</v>
      </c>
      <c r="D35" s="85">
        <f>IF(Deal="Commit to the full plan",1-IF(B35&gt;=PBAt4,PBDisc4,IF(B35&gt;=PBAt3,PBDisc3,IF(B35&gt;=PBAt2,PBDisc2,IF(B35&gt;=PBAt1,PBDisc1,0)))),INDEX($Y$5:$Y$104,B35)/B35)</f>
        <v>0.9725</v>
      </c>
      <c r="E35" s="39">
        <f>C$24*$C35+C$25*$D35+C$26</f>
        <v>1290936.15111229</v>
      </c>
      <c r="F35" s="39">
        <f>D$24*$C35+D$25*$D35+D$26</f>
        <v>727078.768617502</v>
      </c>
      <c r="G35" s="39">
        <f>E$24*$C35+E$25*$D35+E$26</f>
        <v>411682.02224543</v>
      </c>
      <c r="H35" s="39">
        <f>E35+(INDEX(FormatOnce,1)+ProgramOnce)/$B35</f>
        <v>1362936.15111229</v>
      </c>
      <c r="I35" s="39">
        <f>F35+(INDEX(FormatOnce,2)+ProgramOnce)/$B35</f>
        <v>786203.768617502</v>
      </c>
      <c r="J35" s="39">
        <f>G35+(INDEX(FormatOnce,3)+ProgramOnce)/$B35</f>
        <v>464307.02224543</v>
      </c>
      <c r="K35" s="39">
        <f>E35/Area_SPLUS*AreaFactor</f>
        <v>379.68710326832</v>
      </c>
      <c r="L35" s="39">
        <f>F35/Area_S*AreaFactor</f>
        <v>440.653799162122</v>
      </c>
      <c r="M35" s="39">
        <f>G35/Area_D*AreaFactor</f>
        <v>457.424469161589</v>
      </c>
      <c r="N35" s="45">
        <f>IFERROR(E35/E$31,0)</f>
        <v>0.911465654976092</v>
      </c>
      <c r="O35" s="45">
        <f>IFERROR(F35/F$31,0)</f>
        <v>0.909274683279665</v>
      </c>
      <c r="P35" s="45">
        <f>IFERROR(G35/G$31,0)</f>
        <v>0.908710096780484</v>
      </c>
      <c r="U35" s="82" t="n">
        <v>31</v>
      </c>
      <c r="V35" s="61">
        <f>MAX(LearnFloor,U35^LOG(LearnRate,2))</f>
        <v>0.7</v>
      </c>
      <c r="W35" s="61">
        <f>W34+V35</f>
        <v>22.6944785504393</v>
      </c>
      <c r="X35" s="61">
        <f>1-IF(U35&gt;=PBAt4,PBDisc4,IF(U35&gt;=PBAt3,PBDisc3,IF(U35&gt;=PBAt2,PBDisc2,IF(U35&gt;=PBAt1,PBDisc1,0))))</f>
        <v>0.86</v>
      </c>
      <c r="Y35" s="61">
        <f>Y34+X35</f>
        <v>28.58</v>
      </c>
    </row>
    <row r="36">
      <c r="B36" s="36" t="n">
        <v>10</v>
      </c>
      <c r="C36" s="85">
        <f>INDEX($W$5:$W$104,B36)/B36</f>
        <v>0.799447855043927</v>
      </c>
      <c r="D36" s="85">
        <f>IF(Deal="Commit to the full plan",1-IF(B36&gt;=PBAt4,PBDisc4,IF(B36&gt;=PBAt3,PBDisc3,IF(B36&gt;=PBAt2,PBDisc2,IF(B36&gt;=PBAt1,PBDisc1,0)))),INDEX($Y$5:$Y$104,B36)/B36)</f>
        <v>0.964</v>
      </c>
      <c r="E36" s="39">
        <f>C$24*$C36+C$25*$D36+C$26</f>
        <v>1272476.3026383</v>
      </c>
      <c r="F36" s="39">
        <f>D$24*$C36+D$25*$D36+D$26</f>
        <v>716517.351438242</v>
      </c>
      <c r="G36" s="39">
        <f>E$24*$C36+E$25*$D36+E$26</f>
        <v>405750.000476365</v>
      </c>
      <c r="H36" s="39">
        <f>E36+(INDEX(FormatOnce,1)+ProgramOnce)/$B36</f>
        <v>1330076.3026383</v>
      </c>
      <c r="I36" s="39">
        <f>F36+(INDEX(FormatOnce,2)+ProgramOnce)/$B36</f>
        <v>763817.351438242</v>
      </c>
      <c r="J36" s="39">
        <f>G36+(INDEX(FormatOnce,3)+ProgramOnce)/$B36</f>
        <v>447850.000476365</v>
      </c>
      <c r="K36" s="39">
        <f>E36/Area_SPLUS*AreaFactor</f>
        <v>374.257736070089</v>
      </c>
      <c r="L36" s="39">
        <f>F36/Area_S*AreaFactor</f>
        <v>434.252940265601</v>
      </c>
      <c r="M36" s="39">
        <f>G36/Area_D*AreaFactor</f>
        <v>450.833333862628</v>
      </c>
      <c r="N36" s="45">
        <f>IFERROR(E36/E$31,0)</f>
        <v>0.898432076308701</v>
      </c>
      <c r="O36" s="45">
        <f>IFERROR(F36/F$31,0)</f>
        <v>0.896066720573072</v>
      </c>
      <c r="P36" s="45">
        <f>IFERROR(G36/G$31,0)</f>
        <v>0.895616282174565</v>
      </c>
      <c r="U36" s="82" t="n">
        <v>32</v>
      </c>
      <c r="V36" s="61">
        <f>MAX(LearnFloor,U36^LOG(LearnRate,2))</f>
        <v>0.7</v>
      </c>
      <c r="W36" s="61">
        <f>W35+V36</f>
        <v>23.3944785504393</v>
      </c>
      <c r="X36" s="61">
        <f>1-IF(U36&gt;=PBAt4,PBDisc4,IF(U36&gt;=PBAt3,PBDisc3,IF(U36&gt;=PBAt2,PBDisc2,IF(U36&gt;=PBAt1,PBDisc1,0))))</f>
        <v>0.86</v>
      </c>
      <c r="Y36" s="61">
        <f>Y35+X36</f>
        <v>29.44</v>
      </c>
    </row>
    <row r="37">
      <c r="B37" s="36" t="n">
        <v>15</v>
      </c>
      <c r="C37" s="85">
        <f>INDEX($W$5:$W$104,B37)/B37</f>
        <v>0.766298570029284</v>
      </c>
      <c r="D37" s="85">
        <f>IF(Deal="Commit to the full plan",1-IF(B37&gt;=PBAt4,PBDisc4,IF(B37&gt;=PBAt3,PBDisc3,IF(B37&gt;=PBAt2,PBDisc2,IF(B37&gt;=PBAt1,PBDisc1,0)))),INDEX($Y$5:$Y$104,B37)/B37)</f>
        <v>0.950666666666667</v>
      </c>
      <c r="E37" s="39">
        <f>C$24*$C37+C$25*$D37+C$26</f>
        <v>1244620.40175887</v>
      </c>
      <c r="F37" s="39">
        <f>D$24*$C37+D$25*$D37+D$26</f>
        <v>700593.667625495</v>
      </c>
      <c r="G37" s="39">
        <f>E$24*$C37+E$25*$D37+E$26</f>
        <v>396816.400317577</v>
      </c>
      <c r="H37" s="39">
        <f>E37+(INDEX(FormatOnce,1)+ProgramOnce)/$B37</f>
        <v>1283020.40175887</v>
      </c>
      <c r="I37" s="39">
        <f>F37+(INDEX(FormatOnce,2)+ProgramOnce)/$B37</f>
        <v>732127.000958828</v>
      </c>
      <c r="J37" s="39">
        <f>G37+(INDEX(FormatOnce,3)+ProgramOnce)/$B37</f>
        <v>424883.066984243</v>
      </c>
      <c r="K37" s="39">
        <f>E37/Area_SPLUS*AreaFactor</f>
        <v>366.064824046726</v>
      </c>
      <c r="L37" s="39">
        <f>F37/Area_S*AreaFactor</f>
        <v>424.60222280333</v>
      </c>
      <c r="M37" s="39">
        <f>G37/Area_D*AreaFactor</f>
        <v>440.907111463974</v>
      </c>
      <c r="N37" s="45">
        <f>IFERROR(E37/E$31,0)</f>
        <v>0.878764413490407</v>
      </c>
      <c r="O37" s="45">
        <f>IFERROR(F37/F$31,0)</f>
        <v>0.876152781148032</v>
      </c>
      <c r="P37" s="45">
        <f>IFERROR(G37/G$31,0)</f>
        <v>0.875897051734011</v>
      </c>
      <c r="U37" s="82" t="n">
        <v>33</v>
      </c>
      <c r="V37" s="61">
        <f>MAX(LearnFloor,U37^LOG(LearnRate,2))</f>
        <v>0.7</v>
      </c>
      <c r="W37" s="61">
        <f>W36+V37</f>
        <v>24.0944785504393</v>
      </c>
      <c r="X37" s="61">
        <f>1-IF(U37&gt;=PBAt4,PBDisc4,IF(U37&gt;=PBAt3,PBDisc3,IF(U37&gt;=PBAt2,PBDisc2,IF(U37&gt;=PBAt1,PBDisc1,0))))</f>
        <v>0.86</v>
      </c>
      <c r="Y37" s="61">
        <f>Y36+X37</f>
        <v>30.3</v>
      </c>
    </row>
    <row r="38">
      <c r="B38" s="36" t="n">
        <v>20</v>
      </c>
      <c r="C38" s="85">
        <f>INDEX($W$5:$W$104,B38)/B38</f>
        <v>0.749723927521963</v>
      </c>
      <c r="D38" s="85">
        <f>IF(Deal="Commit to the full plan",1-IF(B38&gt;=PBAt4,PBDisc4,IF(B38&gt;=PBAt3,PBDisc3,IF(B38&gt;=PBAt2,PBDisc2,IF(B38&gt;=PBAt1,PBDisc1,0)))),INDEX($Y$5:$Y$104,B38)/B38)</f>
        <v>0.938</v>
      </c>
      <c r="E38" s="39">
        <f>C$24*$C38+C$25*$D38+C$26</f>
        <v>1227378.05131915</v>
      </c>
      <c r="F38" s="39">
        <f>D$24*$C38+D$25*$D38+D$26</f>
        <v>690854.625719121</v>
      </c>
      <c r="G38" s="39">
        <f>E$24*$C38+E$25*$D38+E$26</f>
        <v>391441.800238182</v>
      </c>
      <c r="H38" s="39">
        <f>E38+(INDEX(FormatOnce,1)+ProgramOnce)/$B38</f>
        <v>1256178.05131915</v>
      </c>
      <c r="I38" s="39">
        <f>F38+(INDEX(FormatOnce,2)+ProgramOnce)/$B38</f>
        <v>714504.625719121</v>
      </c>
      <c r="J38" s="39">
        <f>G38+(INDEX(FormatOnce,3)+ProgramOnce)/$B38</f>
        <v>412491.800238182</v>
      </c>
      <c r="K38" s="39">
        <f>E38/Area_SPLUS*AreaFactor</f>
        <v>360.993544505633</v>
      </c>
      <c r="L38" s="39">
        <f>F38/Area_S*AreaFactor</f>
        <v>418.699773163104</v>
      </c>
      <c r="M38" s="39">
        <f>G38/Area_D*AreaFactor</f>
        <v>434.93533359798</v>
      </c>
      <c r="N38" s="45">
        <f>IFERROR(E38/E$31,0)</f>
        <v>0.866590449485043</v>
      </c>
      <c r="O38" s="45">
        <f>IFERROR(F38/F$31,0)</f>
        <v>0.863973269619035</v>
      </c>
      <c r="P38" s="45">
        <f>IFERROR(G38/G$31,0)</f>
        <v>0.864033639939481</v>
      </c>
      <c r="U38" s="82" t="n">
        <v>34</v>
      </c>
      <c r="V38" s="61">
        <f>MAX(LearnFloor,U38^LOG(LearnRate,2))</f>
        <v>0.7</v>
      </c>
      <c r="W38" s="61">
        <f>W37+V38</f>
        <v>24.7944785504393</v>
      </c>
      <c r="X38" s="61">
        <f>1-IF(U38&gt;=PBAt4,PBDisc4,IF(U38&gt;=PBAt3,PBDisc3,IF(U38&gt;=PBAt2,PBDisc2,IF(U38&gt;=PBAt1,PBDisc1,0))))</f>
        <v>0.86</v>
      </c>
      <c r="Y38" s="61">
        <f>Y37+X38</f>
        <v>31.16</v>
      </c>
    </row>
    <row r="39">
      <c r="B39" s="36" t="n">
        <v>30</v>
      </c>
      <c r="C39" s="85">
        <f>INDEX($W$5:$W$104,B39)/B39</f>
        <v>0.733149285014642</v>
      </c>
      <c r="D39" s="85">
        <f>IF(Deal="Commit to the full plan",1-IF(B39&gt;=PBAt4,PBDisc4,IF(B39&gt;=PBAt3,PBDisc3,IF(B39&gt;=PBAt2,PBDisc2,IF(B39&gt;=PBAt1,PBDisc1,0)))),INDEX($Y$5:$Y$104,B39)/B39)</f>
        <v>0.923999999999999</v>
      </c>
      <c r="E39" s="39">
        <f>C$24*$C39+C$25*$D39+C$26</f>
        <v>1209399.1675461</v>
      </c>
      <c r="F39" s="39">
        <f>D$24*$C39+D$25*$D39+D$26</f>
        <v>680720.650479414</v>
      </c>
      <c r="G39" s="39">
        <f>E$24*$C39+E$25*$D39+E$26</f>
        <v>385865.466825455</v>
      </c>
      <c r="H39" s="39">
        <f>E39+(INDEX(FormatOnce,1)+ProgramOnce)/$B39</f>
        <v>1228599.1675461</v>
      </c>
      <c r="I39" s="39">
        <f>F39+(INDEX(FormatOnce,2)+ProgramOnce)/$B39</f>
        <v>696487.31714608</v>
      </c>
      <c r="J39" s="39">
        <f>G39+(INDEX(FormatOnce,3)+ProgramOnce)/$B39</f>
        <v>399898.800158788</v>
      </c>
      <c r="K39" s="39">
        <f>E39/Area_SPLUS*AreaFactor</f>
        <v>355.705637513559</v>
      </c>
      <c r="L39" s="39">
        <f>F39/Area_S*AreaFactor</f>
        <v>412.557969987524</v>
      </c>
      <c r="M39" s="39">
        <f>G39/Area_D*AreaFactor</f>
        <v>428.739407583839</v>
      </c>
      <c r="N39" s="45">
        <f>IFERROR(E39/E$31,0)</f>
        <v>0.853896456013853</v>
      </c>
      <c r="O39" s="45">
        <f>IFERROR(F39/F$31,0)</f>
        <v>0.851299859908599</v>
      </c>
      <c r="P39" s="45">
        <f>IFERROR(G39/G$31,0)</f>
        <v>0.851724940017338</v>
      </c>
      <c r="U39" s="82" t="n">
        <v>35</v>
      </c>
      <c r="V39" s="61">
        <f>MAX(LearnFloor,U39^LOG(LearnRate,2))</f>
        <v>0.7</v>
      </c>
      <c r="W39" s="61">
        <f>W38+V39</f>
        <v>25.4944785504393</v>
      </c>
      <c r="X39" s="61">
        <f>1-IF(U39&gt;=PBAt4,PBDisc4,IF(U39&gt;=PBAt3,PBDisc3,IF(U39&gt;=PBAt2,PBDisc2,IF(U39&gt;=PBAt1,PBDisc1,0))))</f>
        <v>0.86</v>
      </c>
      <c r="Y39" s="61">
        <f>Y38+X39</f>
        <v>32.02</v>
      </c>
    </row>
    <row r="40">
      <c r="B40" s="36" t="n">
        <v>50</v>
      </c>
      <c r="C40" s="85">
        <f>INDEX($W$5:$W$104,B40)/B40</f>
        <v>0.719889571008785</v>
      </c>
      <c r="D40" s="85">
        <f>IF(Deal="Commit to the full plan",1-IF(B40&gt;=PBAt4,PBDisc4,IF(B40&gt;=PBAt3,PBDisc3,IF(B40&gt;=PBAt2,PBDisc2,IF(B40&gt;=PBAt1,PBDisc1,0)))),INDEX($Y$5:$Y$104,B40)/B40)</f>
        <v>0.898399999999999</v>
      </c>
      <c r="E40" s="39">
        <f>C$24*$C40+C$25*$D40+C$26</f>
        <v>1187061.50052766</v>
      </c>
      <c r="F40" s="39">
        <f>D$24*$C40+D$25*$D40+D$26</f>
        <v>668348.190287648</v>
      </c>
      <c r="G40" s="39">
        <f>E$24*$C40+E$25*$D40+E$26</f>
        <v>379225.680095273</v>
      </c>
      <c r="H40" s="39">
        <f>E40+(INDEX(FormatOnce,1)+ProgramOnce)/$B40</f>
        <v>1198581.50052766</v>
      </c>
      <c r="I40" s="39">
        <f>F40+(INDEX(FormatOnce,2)+ProgramOnce)/$B40</f>
        <v>677808.190287648</v>
      </c>
      <c r="J40" s="39">
        <f>G40+(INDEX(FormatOnce,3)+ProgramOnce)/$B40</f>
        <v>387645.680095273</v>
      </c>
      <c r="K40" s="39">
        <f>E40/Area_SPLUS*AreaFactor</f>
        <v>349.135735449312</v>
      </c>
      <c r="L40" s="39">
        <f>F40/Area_S*AreaFactor</f>
        <v>405.059509265241</v>
      </c>
      <c r="M40" s="39">
        <f>G40/Area_D*AreaFactor</f>
        <v>421.361866772525</v>
      </c>
      <c r="N40" s="45">
        <f>IFERROR(E40/E$31,0)</f>
        <v>0.83812494300598</v>
      </c>
      <c r="O40" s="45">
        <f>IFERROR(F40/F$31,0)</f>
        <v>0.835827031780708</v>
      </c>
      <c r="P40" s="45">
        <f>IFERROR(G40/G$31,0)</f>
        <v>0.837068868301415</v>
      </c>
      <c r="U40" s="82" t="n">
        <v>36</v>
      </c>
      <c r="V40" s="61">
        <f>MAX(LearnFloor,U40^LOG(LearnRate,2))</f>
        <v>0.7</v>
      </c>
      <c r="W40" s="61">
        <f>W39+V40</f>
        <v>26.1944785504393</v>
      </c>
      <c r="X40" s="61">
        <f>1-IF(U40&gt;=PBAt4,PBDisc4,IF(U40&gt;=PBAt3,PBDisc3,IF(U40&gt;=PBAt2,PBDisc2,IF(U40&gt;=PBAt1,PBDisc1,0))))</f>
        <v>0.86</v>
      </c>
      <c r="Y40" s="61">
        <f>Y39+X40</f>
        <v>32.88</v>
      </c>
    </row>
    <row r="41">
      <c r="B41" s="36" t="n">
        <v>75</v>
      </c>
      <c r="C41" s="85">
        <f>INDEX($W$5:$W$104,B41)/B41</f>
        <v>0.713259714005858</v>
      </c>
      <c r="D41" s="85">
        <f>IF(Deal="Commit to the full plan",1-IF(B41&gt;=PBAt4,PBDisc4,IF(B41&gt;=PBAt3,PBDisc3,IF(B41&gt;=PBAt2,PBDisc2,IF(B41&gt;=PBAt1,PBDisc1,0)))),INDEX($Y$5:$Y$104,B41)/B41)</f>
        <v>0.8856</v>
      </c>
      <c r="E41" s="39">
        <f>C$24*$C41+C$25*$D41+C$26</f>
        <v>1175892.66701844</v>
      </c>
      <c r="F41" s="39">
        <f>D$24*$C41+D$25*$D41+D$26</f>
        <v>662161.960191766</v>
      </c>
      <c r="G41" s="39">
        <f>E$24*$C41+E$25*$D41+E$26</f>
        <v>375905.786730182</v>
      </c>
      <c r="H41" s="39">
        <f>E41+(INDEX(FormatOnce,1)+ProgramOnce)/$B41</f>
        <v>1183572.66701844</v>
      </c>
      <c r="I41" s="39">
        <f>F41+(INDEX(FormatOnce,2)+ProgramOnce)/$B41</f>
        <v>668468.626858432</v>
      </c>
      <c r="J41" s="39">
        <f>G41+(INDEX(FormatOnce,3)+ProgramOnce)/$B41</f>
        <v>381519.120063515</v>
      </c>
      <c r="K41" s="39">
        <f>E41/Area_SPLUS*AreaFactor</f>
        <v>345.850784417188</v>
      </c>
      <c r="L41" s="39">
        <f>F41/Area_S*AreaFactor</f>
        <v>401.3102789041</v>
      </c>
      <c r="M41" s="39">
        <f>G41/Area_D*AreaFactor</f>
        <v>417.673096366869</v>
      </c>
      <c r="N41" s="45">
        <f>IFERROR(E41/E$31,0)</f>
        <v>0.830239186502044</v>
      </c>
      <c r="O41" s="45">
        <f>IFERROR(F41/F$31,0)</f>
        <v>0.828090617716762</v>
      </c>
      <c r="P41" s="45">
        <f>IFERROR(G41/G$31,0)</f>
        <v>0.829740832443453</v>
      </c>
      <c r="U41" s="82" t="n">
        <v>37</v>
      </c>
      <c r="V41" s="61">
        <f>MAX(LearnFloor,U41^LOG(LearnRate,2))</f>
        <v>0.7</v>
      </c>
      <c r="W41" s="61">
        <f>W40+V41</f>
        <v>26.8944785504393</v>
      </c>
      <c r="X41" s="61">
        <f>1-IF(U41&gt;=PBAt4,PBDisc4,IF(U41&gt;=PBAt3,PBDisc3,IF(U41&gt;=PBAt2,PBDisc2,IF(U41&gt;=PBAt1,PBDisc1,0))))</f>
        <v>0.86</v>
      </c>
      <c r="Y41" s="61">
        <f>Y40+X41</f>
        <v>33.74</v>
      </c>
    </row>
    <row r="42">
      <c r="B42" s="36" t="n">
        <v>100</v>
      </c>
      <c r="C42" s="85">
        <f>INDEX($W$5:$W$104,B42)/B42</f>
        <v>0.709944785504394</v>
      </c>
      <c r="D42" s="85">
        <f>IF(Deal="Commit to the full plan",1-IF(B42&gt;=PBAt4,PBDisc4,IF(B42&gt;=PBAt3,PBDisc3,IF(B42&gt;=PBAt2,PBDisc2,IF(B42&gt;=PBAt1,PBDisc1,0)))),INDEX($Y$5:$Y$104,B42)/B42)</f>
        <v>0.879199999999999</v>
      </c>
      <c r="E42" s="39">
        <f>C$24*$C42+C$25*$D42+C$26</f>
        <v>1170308.25026383</v>
      </c>
      <c r="F42" s="39">
        <f>D$24*$C42+D$25*$D42+D$26</f>
        <v>659068.845143825</v>
      </c>
      <c r="G42" s="39">
        <f>E$24*$C42+E$25*$D42+E$26</f>
        <v>374245.840047637</v>
      </c>
      <c r="H42" s="39">
        <f>E42+(INDEX(FormatOnce,1)+ProgramOnce)/$B42</f>
        <v>1176068.25026383</v>
      </c>
      <c r="I42" s="39">
        <f>F42+(INDEX(FormatOnce,2)+ProgramOnce)/$B42</f>
        <v>663798.845143825</v>
      </c>
      <c r="J42" s="39">
        <f>G42+(INDEX(FormatOnce,3)+ProgramOnce)/$B42</f>
        <v>378455.840047637</v>
      </c>
      <c r="K42" s="39">
        <f>E42/Area_SPLUS*AreaFactor</f>
        <v>344.208308901127</v>
      </c>
      <c r="L42" s="39">
        <f>F42/Area_S*AreaFactor</f>
        <v>399.43566372353</v>
      </c>
      <c r="M42" s="39">
        <f>G42/Area_D*AreaFactor</f>
        <v>415.828711164041</v>
      </c>
      <c r="N42" s="45">
        <f>IFERROR(E42/E$31,0)</f>
        <v>0.826296308250076</v>
      </c>
      <c r="O42" s="45">
        <f>IFERROR(F42/F$31,0)</f>
        <v>0.824222410684789</v>
      </c>
      <c r="P42" s="45">
        <f>IFERROR(G42/G$31,0)</f>
        <v>0.826076814514473</v>
      </c>
      <c r="U42" s="82" t="n">
        <v>38</v>
      </c>
      <c r="V42" s="61">
        <f>MAX(LearnFloor,U42^LOG(LearnRate,2))</f>
        <v>0.7</v>
      </c>
      <c r="W42" s="61">
        <f>W41+V42</f>
        <v>27.5944785504393</v>
      </c>
      <c r="X42" s="61">
        <f>1-IF(U42&gt;=PBAt4,PBDisc4,IF(U42&gt;=PBAt3,PBDisc3,IF(U42&gt;=PBAt2,PBDisc2,IF(U42&gt;=PBAt1,PBDisc1,0))))</f>
        <v>0.86</v>
      </c>
      <c r="Y42" s="61">
        <f>Y41+X42</f>
        <v>34.6</v>
      </c>
    </row>
    <row r="43">
      <c r="U43" s="82" t="n">
        <v>39</v>
      </c>
      <c r="V43" s="61">
        <f>MAX(LearnFloor,U43^LOG(LearnRate,2))</f>
        <v>0.7</v>
      </c>
      <c r="W43" s="61">
        <f>W42+V43</f>
        <v>28.2944785504392</v>
      </c>
      <c r="X43" s="61">
        <f>1-IF(U43&gt;=PBAt4,PBDisc4,IF(U43&gt;=PBAt3,PBDisc3,IF(U43&gt;=PBAt2,PBDisc2,IF(U43&gt;=PBAt1,PBDisc1,0))))</f>
        <v>0.86</v>
      </c>
      <c r="Y43" s="61">
        <f>Y42+X43</f>
        <v>35.46</v>
      </c>
    </row>
    <row r="44">
      <c r="B44" s="38" t="inlineStr">
        <is>
          <t>Learning here counts only stores of the same size; in your rollout, shared experience makes later stores cheaper still.</t>
        </is>
      </c>
      <c r="U44" s="82" t="n">
        <v>40</v>
      </c>
      <c r="V44" s="61">
        <f>MAX(LearnFloor,U44^LOG(LearnRate,2))</f>
        <v>0.7</v>
      </c>
      <c r="W44" s="61">
        <f>W43+V44</f>
        <v>28.9944785504392</v>
      </c>
      <c r="X44" s="61">
        <f>1-IF(U44&gt;=PBAt4,PBDisc4,IF(U44&gt;=PBAt3,PBDisc3,IF(U44&gt;=PBAt2,PBDisc2,IF(U44&gt;=PBAt1,PBDisc1,0))))</f>
        <v>0.86</v>
      </c>
      <c r="Y44" s="61">
        <f>Y43+X44</f>
        <v>36.32</v>
      </c>
    </row>
    <row r="45">
      <c r="U45" s="82" t="n">
        <v>41</v>
      </c>
      <c r="V45" s="61">
        <f>MAX(LearnFloor,U45^LOG(LearnRate,2))</f>
        <v>0.7</v>
      </c>
      <c r="W45" s="61">
        <f>W44+V45</f>
        <v>29.6944785504392</v>
      </c>
      <c r="X45" s="61">
        <f>1-IF(U45&gt;=PBAt4,PBDisc4,IF(U45&gt;=PBAt3,PBDisc3,IF(U45&gt;=PBAt2,PBDisc2,IF(U45&gt;=PBAt1,PBDisc1,0))))</f>
        <v>0.86</v>
      </c>
      <c r="Y45" s="61">
        <f>Y44+X45</f>
        <v>37.18</v>
      </c>
    </row>
    <row r="46">
      <c r="U46" s="82" t="n">
        <v>42</v>
      </c>
      <c r="V46" s="61">
        <f>MAX(LearnFloor,U46^LOG(LearnRate,2))</f>
        <v>0.7</v>
      </c>
      <c r="W46" s="61">
        <f>W45+V46</f>
        <v>30.3944785504392</v>
      </c>
      <c r="X46" s="61">
        <f>1-IF(U46&gt;=PBAt4,PBDisc4,IF(U46&gt;=PBAt3,PBDisc3,IF(U46&gt;=PBAt2,PBDisc2,IF(U46&gt;=PBAt1,PBDisc1,0))))</f>
        <v>0.86</v>
      </c>
      <c r="Y46" s="61">
        <f>Y45+X46</f>
        <v>38.04</v>
      </c>
    </row>
    <row r="47">
      <c r="U47" s="82" t="n">
        <v>43</v>
      </c>
      <c r="V47" s="61">
        <f>MAX(LearnFloor,U47^LOG(LearnRate,2))</f>
        <v>0.7</v>
      </c>
      <c r="W47" s="61">
        <f>W46+V47</f>
        <v>31.0944785504392</v>
      </c>
      <c r="X47" s="61">
        <f>1-IF(U47&gt;=PBAt4,PBDisc4,IF(U47&gt;=PBAt3,PBDisc3,IF(U47&gt;=PBAt2,PBDisc2,IF(U47&gt;=PBAt1,PBDisc1,0))))</f>
        <v>0.86</v>
      </c>
      <c r="Y47" s="61">
        <f>Y46+X47</f>
        <v>38.9</v>
      </c>
    </row>
    <row r="48">
      <c r="U48" s="82" t="n">
        <v>44</v>
      </c>
      <c r="V48" s="61">
        <f>MAX(LearnFloor,U48^LOG(LearnRate,2))</f>
        <v>0.7</v>
      </c>
      <c r="W48" s="61">
        <f>W47+V48</f>
        <v>31.7944785504392</v>
      </c>
      <c r="X48" s="61">
        <f>1-IF(U48&gt;=PBAt4,PBDisc4,IF(U48&gt;=PBAt3,PBDisc3,IF(U48&gt;=PBAt2,PBDisc2,IF(U48&gt;=PBAt1,PBDisc1,0))))</f>
        <v>0.86</v>
      </c>
      <c r="Y48" s="61">
        <f>Y47+X48</f>
        <v>39.76</v>
      </c>
    </row>
    <row r="49">
      <c r="U49" s="82" t="n">
        <v>45</v>
      </c>
      <c r="V49" s="61">
        <f>MAX(LearnFloor,U49^LOG(LearnRate,2))</f>
        <v>0.7</v>
      </c>
      <c r="W49" s="61">
        <f>W48+V49</f>
        <v>32.4944785504393</v>
      </c>
      <c r="X49" s="61">
        <f>1-IF(U49&gt;=PBAt4,PBDisc4,IF(U49&gt;=PBAt3,PBDisc3,IF(U49&gt;=PBAt2,PBDisc2,IF(U49&gt;=PBAt1,PBDisc1,0))))</f>
        <v>0.86</v>
      </c>
      <c r="Y49" s="61">
        <f>Y48+X49</f>
        <v>40.62</v>
      </c>
    </row>
    <row r="50">
      <c r="U50" s="82" t="n">
        <v>46</v>
      </c>
      <c r="V50" s="61">
        <f>MAX(LearnFloor,U50^LOG(LearnRate,2))</f>
        <v>0.7</v>
      </c>
      <c r="W50" s="61">
        <f>W49+V50</f>
        <v>33.1944785504393</v>
      </c>
      <c r="X50" s="61">
        <f>1-IF(U50&gt;=PBAt4,PBDisc4,IF(U50&gt;=PBAt3,PBDisc3,IF(U50&gt;=PBAt2,PBDisc2,IF(U50&gt;=PBAt1,PBDisc1,0))))</f>
        <v>0.86</v>
      </c>
      <c r="Y50" s="61">
        <f>Y49+X50</f>
        <v>41.48</v>
      </c>
    </row>
    <row r="51">
      <c r="U51" s="82" t="n">
        <v>47</v>
      </c>
      <c r="V51" s="61">
        <f>MAX(LearnFloor,U51^LOG(LearnRate,2))</f>
        <v>0.7</v>
      </c>
      <c r="W51" s="61">
        <f>W50+V51</f>
        <v>33.8944785504393</v>
      </c>
      <c r="X51" s="61">
        <f>1-IF(U51&gt;=PBAt4,PBDisc4,IF(U51&gt;=PBAt3,PBDisc3,IF(U51&gt;=PBAt2,PBDisc2,IF(U51&gt;=PBAt1,PBDisc1,0))))</f>
        <v>0.86</v>
      </c>
      <c r="Y51" s="61">
        <f>Y50+X51</f>
        <v>42.34</v>
      </c>
    </row>
    <row r="52">
      <c r="U52" s="82" t="n">
        <v>48</v>
      </c>
      <c r="V52" s="61">
        <f>MAX(LearnFloor,U52^LOG(LearnRate,2))</f>
        <v>0.7</v>
      </c>
      <c r="W52" s="61">
        <f>W51+V52</f>
        <v>34.5944785504393</v>
      </c>
      <c r="X52" s="61">
        <f>1-IF(U52&gt;=PBAt4,PBDisc4,IF(U52&gt;=PBAt3,PBDisc3,IF(U52&gt;=PBAt2,PBDisc2,IF(U52&gt;=PBAt1,PBDisc1,0))))</f>
        <v>0.86</v>
      </c>
      <c r="Y52" s="61">
        <f>Y51+X52</f>
        <v>43.2</v>
      </c>
    </row>
    <row r="53">
      <c r="U53" s="82" t="n">
        <v>49</v>
      </c>
      <c r="V53" s="61">
        <f>MAX(LearnFloor,U53^LOG(LearnRate,2))</f>
        <v>0.7</v>
      </c>
      <c r="W53" s="61">
        <f>W52+V53</f>
        <v>35.2944785504393</v>
      </c>
      <c r="X53" s="61">
        <f>1-IF(U53&gt;=PBAt4,PBDisc4,IF(U53&gt;=PBAt3,PBDisc3,IF(U53&gt;=PBAt2,PBDisc2,IF(U53&gt;=PBAt1,PBDisc1,0))))</f>
        <v>0.86</v>
      </c>
      <c r="Y53" s="61">
        <f>Y52+X53</f>
        <v>44.06</v>
      </c>
    </row>
    <row r="54">
      <c r="U54" s="82" t="n">
        <v>50</v>
      </c>
      <c r="V54" s="61">
        <f>MAX(LearnFloor,U54^LOG(LearnRate,2))</f>
        <v>0.7</v>
      </c>
      <c r="W54" s="61">
        <f>W53+V54</f>
        <v>35.9944785504393</v>
      </c>
      <c r="X54" s="61">
        <f>1-IF(U54&gt;=PBAt4,PBDisc4,IF(U54&gt;=PBAt3,PBDisc3,IF(U54&gt;=PBAt2,PBDisc2,IF(U54&gt;=PBAt1,PBDisc1,0))))</f>
        <v>0.86</v>
      </c>
      <c r="Y54" s="61">
        <f>Y53+X54</f>
        <v>44.92</v>
      </c>
    </row>
    <row r="55">
      <c r="U55" s="82" t="n">
        <v>51</v>
      </c>
      <c r="V55" s="61">
        <f>MAX(LearnFloor,U55^LOG(LearnRate,2))</f>
        <v>0.7</v>
      </c>
      <c r="W55" s="61">
        <f>W54+V55</f>
        <v>36.6944785504393</v>
      </c>
      <c r="X55" s="61">
        <f>1-IF(U55&gt;=PBAt4,PBDisc4,IF(U55&gt;=PBAt3,PBDisc3,IF(U55&gt;=PBAt2,PBDisc2,IF(U55&gt;=PBAt1,PBDisc1,0))))</f>
        <v>0.86</v>
      </c>
      <c r="Y55" s="61">
        <f>Y54+X55</f>
        <v>45.78</v>
      </c>
    </row>
    <row r="56">
      <c r="U56" s="82" t="n">
        <v>52</v>
      </c>
      <c r="V56" s="61">
        <f>MAX(LearnFloor,U56^LOG(LearnRate,2))</f>
        <v>0.7</v>
      </c>
      <c r="W56" s="61">
        <f>W55+V56</f>
        <v>37.3944785504393</v>
      </c>
      <c r="X56" s="61">
        <f>1-IF(U56&gt;=PBAt4,PBDisc4,IF(U56&gt;=PBAt3,PBDisc3,IF(U56&gt;=PBAt2,PBDisc2,IF(U56&gt;=PBAt1,PBDisc1,0))))</f>
        <v>0.86</v>
      </c>
      <c r="Y56" s="61">
        <f>Y55+X56</f>
        <v>46.64</v>
      </c>
    </row>
    <row r="57">
      <c r="U57" s="82" t="n">
        <v>53</v>
      </c>
      <c r="V57" s="61">
        <f>MAX(LearnFloor,U57^LOG(LearnRate,2))</f>
        <v>0.7</v>
      </c>
      <c r="W57" s="61">
        <f>W56+V57</f>
        <v>38.0944785504393</v>
      </c>
      <c r="X57" s="61">
        <f>1-IF(U57&gt;=PBAt4,PBDisc4,IF(U57&gt;=PBAt3,PBDisc3,IF(U57&gt;=PBAt2,PBDisc2,IF(U57&gt;=PBAt1,PBDisc1,0))))</f>
        <v>0.86</v>
      </c>
      <c r="Y57" s="61">
        <f>Y56+X57</f>
        <v>47.5</v>
      </c>
    </row>
    <row r="58">
      <c r="U58" s="82" t="n">
        <v>54</v>
      </c>
      <c r="V58" s="61">
        <f>MAX(LearnFloor,U58^LOG(LearnRate,2))</f>
        <v>0.7</v>
      </c>
      <c r="W58" s="61">
        <f>W57+V58</f>
        <v>38.7944785504393</v>
      </c>
      <c r="X58" s="61">
        <f>1-IF(U58&gt;=PBAt4,PBDisc4,IF(U58&gt;=PBAt3,PBDisc3,IF(U58&gt;=PBAt2,PBDisc2,IF(U58&gt;=PBAt1,PBDisc1,0))))</f>
        <v>0.86</v>
      </c>
      <c r="Y58" s="61">
        <f>Y57+X58</f>
        <v>48.36</v>
      </c>
    </row>
    <row r="59">
      <c r="U59" s="82" t="n">
        <v>55</v>
      </c>
      <c r="V59" s="61">
        <f>MAX(LearnFloor,U59^LOG(LearnRate,2))</f>
        <v>0.7</v>
      </c>
      <c r="W59" s="61">
        <f>W58+V59</f>
        <v>39.4944785504393</v>
      </c>
      <c r="X59" s="61">
        <f>1-IF(U59&gt;=PBAt4,PBDisc4,IF(U59&gt;=PBAt3,PBDisc3,IF(U59&gt;=PBAt2,PBDisc2,IF(U59&gt;=PBAt1,PBDisc1,0))))</f>
        <v>0.86</v>
      </c>
      <c r="Y59" s="61">
        <f>Y58+X59</f>
        <v>49.22</v>
      </c>
    </row>
    <row r="60">
      <c r="U60" s="82" t="n">
        <v>56</v>
      </c>
      <c r="V60" s="61">
        <f>MAX(LearnFloor,U60^LOG(LearnRate,2))</f>
        <v>0.7</v>
      </c>
      <c r="W60" s="61">
        <f>W59+V60</f>
        <v>40.1944785504393</v>
      </c>
      <c r="X60" s="61">
        <f>1-IF(U60&gt;=PBAt4,PBDisc4,IF(U60&gt;=PBAt3,PBDisc3,IF(U60&gt;=PBAt2,PBDisc2,IF(U60&gt;=PBAt1,PBDisc1,0))))</f>
        <v>0.86</v>
      </c>
      <c r="Y60" s="61">
        <f>Y59+X60</f>
        <v>50.08</v>
      </c>
    </row>
    <row r="61">
      <c r="U61" s="82" t="n">
        <v>57</v>
      </c>
      <c r="V61" s="61">
        <f>MAX(LearnFloor,U61^LOG(LearnRate,2))</f>
        <v>0.7</v>
      </c>
      <c r="W61" s="61">
        <f>W60+V61</f>
        <v>40.8944785504393</v>
      </c>
      <c r="X61" s="61">
        <f>1-IF(U61&gt;=PBAt4,PBDisc4,IF(U61&gt;=PBAt3,PBDisc3,IF(U61&gt;=PBAt2,PBDisc2,IF(U61&gt;=PBAt1,PBDisc1,0))))</f>
        <v>0.86</v>
      </c>
      <c r="Y61" s="61">
        <f>Y60+X61</f>
        <v>50.94</v>
      </c>
    </row>
    <row r="62">
      <c r="U62" s="82" t="n">
        <v>58</v>
      </c>
      <c r="V62" s="61">
        <f>MAX(LearnFloor,U62^LOG(LearnRate,2))</f>
        <v>0.7</v>
      </c>
      <c r="W62" s="61">
        <f>W61+V62</f>
        <v>41.5944785504393</v>
      </c>
      <c r="X62" s="61">
        <f>1-IF(U62&gt;=PBAt4,PBDisc4,IF(U62&gt;=PBAt3,PBDisc3,IF(U62&gt;=PBAt2,PBDisc2,IF(U62&gt;=PBAt1,PBDisc1,0))))</f>
        <v>0.86</v>
      </c>
      <c r="Y62" s="61">
        <f>Y61+X62</f>
        <v>51.8</v>
      </c>
    </row>
    <row r="63">
      <c r="U63" s="82" t="n">
        <v>59</v>
      </c>
      <c r="V63" s="61">
        <f>MAX(LearnFloor,U63^LOG(LearnRate,2))</f>
        <v>0.7</v>
      </c>
      <c r="W63" s="61">
        <f>W62+V63</f>
        <v>42.2944785504393</v>
      </c>
      <c r="X63" s="61">
        <f>1-IF(U63&gt;=PBAt4,PBDisc4,IF(U63&gt;=PBAt3,PBDisc3,IF(U63&gt;=PBAt2,PBDisc2,IF(U63&gt;=PBAt1,PBDisc1,0))))</f>
        <v>0.86</v>
      </c>
      <c r="Y63" s="61">
        <f>Y62+X63</f>
        <v>52.66</v>
      </c>
    </row>
    <row r="64">
      <c r="U64" s="82" t="n">
        <v>60</v>
      </c>
      <c r="V64" s="61">
        <f>MAX(LearnFloor,U64^LOG(LearnRate,2))</f>
        <v>0.7</v>
      </c>
      <c r="W64" s="61">
        <f>W63+V64</f>
        <v>42.9944785504393</v>
      </c>
      <c r="X64" s="61">
        <f>1-IF(U64&gt;=PBAt4,PBDisc4,IF(U64&gt;=PBAt3,PBDisc3,IF(U64&gt;=PBAt2,PBDisc2,IF(U64&gt;=PBAt1,PBDisc1,0))))</f>
        <v>0.86</v>
      </c>
      <c r="Y64" s="61">
        <f>Y63+X64</f>
        <v>53.52</v>
      </c>
    </row>
    <row r="65">
      <c r="U65" s="82" t="n">
        <v>61</v>
      </c>
      <c r="V65" s="61">
        <f>MAX(LearnFloor,U65^LOG(LearnRate,2))</f>
        <v>0.7</v>
      </c>
      <c r="W65" s="61">
        <f>W64+V65</f>
        <v>43.6944785504393</v>
      </c>
      <c r="X65" s="61">
        <f>1-IF(U65&gt;=PBAt4,PBDisc4,IF(U65&gt;=PBAt3,PBDisc3,IF(U65&gt;=PBAt2,PBDisc2,IF(U65&gt;=PBAt1,PBDisc1,0))))</f>
        <v>0.86</v>
      </c>
      <c r="Y65" s="61">
        <f>Y64+X65</f>
        <v>54.38</v>
      </c>
    </row>
    <row r="66">
      <c r="U66" s="82" t="n">
        <v>62</v>
      </c>
      <c r="V66" s="61">
        <f>MAX(LearnFloor,U66^LOG(LearnRate,2))</f>
        <v>0.7</v>
      </c>
      <c r="W66" s="61">
        <f>W65+V66</f>
        <v>44.3944785504393</v>
      </c>
      <c r="X66" s="61">
        <f>1-IF(U66&gt;=PBAt4,PBDisc4,IF(U66&gt;=PBAt3,PBDisc3,IF(U66&gt;=PBAt2,PBDisc2,IF(U66&gt;=PBAt1,PBDisc1,0))))</f>
        <v>0.86</v>
      </c>
      <c r="Y66" s="61">
        <f>Y65+X66</f>
        <v>55.24</v>
      </c>
    </row>
    <row r="67">
      <c r="U67" s="82" t="n">
        <v>63</v>
      </c>
      <c r="V67" s="61">
        <f>MAX(LearnFloor,U67^LOG(LearnRate,2))</f>
        <v>0.7</v>
      </c>
      <c r="W67" s="61">
        <f>W66+V67</f>
        <v>45.0944785504393</v>
      </c>
      <c r="X67" s="61">
        <f>1-IF(U67&gt;=PBAt4,PBDisc4,IF(U67&gt;=PBAt3,PBDisc3,IF(U67&gt;=PBAt2,PBDisc2,IF(U67&gt;=PBAt1,PBDisc1,0))))</f>
        <v>0.86</v>
      </c>
      <c r="Y67" s="61">
        <f>Y66+X67</f>
        <v>56.1</v>
      </c>
    </row>
    <row r="68">
      <c r="U68" s="82" t="n">
        <v>64</v>
      </c>
      <c r="V68" s="61">
        <f>MAX(LearnFloor,U68^LOG(LearnRate,2))</f>
        <v>0.7</v>
      </c>
      <c r="W68" s="61">
        <f>W67+V68</f>
        <v>45.7944785504393</v>
      </c>
      <c r="X68" s="61">
        <f>1-IF(U68&gt;=PBAt4,PBDisc4,IF(U68&gt;=PBAt3,PBDisc3,IF(U68&gt;=PBAt2,PBDisc2,IF(U68&gt;=PBAt1,PBDisc1,0))))</f>
        <v>0.86</v>
      </c>
      <c r="Y68" s="61">
        <f>Y67+X68</f>
        <v>56.96</v>
      </c>
    </row>
    <row r="69">
      <c r="U69" s="82" t="n">
        <v>65</v>
      </c>
      <c r="V69" s="61">
        <f>MAX(LearnFloor,U69^LOG(LearnRate,2))</f>
        <v>0.7</v>
      </c>
      <c r="W69" s="61">
        <f>W68+V69</f>
        <v>46.4944785504393</v>
      </c>
      <c r="X69" s="61">
        <f>1-IF(U69&gt;=PBAt4,PBDisc4,IF(U69&gt;=PBAt3,PBDisc3,IF(U69&gt;=PBAt2,PBDisc2,IF(U69&gt;=PBAt1,PBDisc1,0))))</f>
        <v>0.86</v>
      </c>
      <c r="Y69" s="61">
        <f>Y68+X69</f>
        <v>57.82</v>
      </c>
    </row>
    <row r="70">
      <c r="U70" s="82" t="n">
        <v>66</v>
      </c>
      <c r="V70" s="61">
        <f>MAX(LearnFloor,U70^LOG(LearnRate,2))</f>
        <v>0.7</v>
      </c>
      <c r="W70" s="61">
        <f>W69+V70</f>
        <v>47.1944785504393</v>
      </c>
      <c r="X70" s="61">
        <f>1-IF(U70&gt;=PBAt4,PBDisc4,IF(U70&gt;=PBAt3,PBDisc3,IF(U70&gt;=PBAt2,PBDisc2,IF(U70&gt;=PBAt1,PBDisc1,0))))</f>
        <v>0.86</v>
      </c>
      <c r="Y70" s="61">
        <f>Y69+X70</f>
        <v>58.68</v>
      </c>
    </row>
    <row r="71">
      <c r="U71" s="82" t="n">
        <v>67</v>
      </c>
      <c r="V71" s="61">
        <f>MAX(LearnFloor,U71^LOG(LearnRate,2))</f>
        <v>0.7</v>
      </c>
      <c r="W71" s="61">
        <f>W70+V71</f>
        <v>47.8944785504393</v>
      </c>
      <c r="X71" s="61">
        <f>1-IF(U71&gt;=PBAt4,PBDisc4,IF(U71&gt;=PBAt3,PBDisc3,IF(U71&gt;=PBAt2,PBDisc2,IF(U71&gt;=PBAt1,PBDisc1,0))))</f>
        <v>0.86</v>
      </c>
      <c r="Y71" s="61">
        <f>Y70+X71</f>
        <v>59.54</v>
      </c>
    </row>
    <row r="72">
      <c r="U72" s="82" t="n">
        <v>68</v>
      </c>
      <c r="V72" s="61">
        <f>MAX(LearnFloor,U72^LOG(LearnRate,2))</f>
        <v>0.7</v>
      </c>
      <c r="W72" s="61">
        <f>W71+V72</f>
        <v>48.5944785504393</v>
      </c>
      <c r="X72" s="61">
        <f>1-IF(U72&gt;=PBAt4,PBDisc4,IF(U72&gt;=PBAt3,PBDisc3,IF(U72&gt;=PBAt2,PBDisc2,IF(U72&gt;=PBAt1,PBDisc1,0))))</f>
        <v>0.86</v>
      </c>
      <c r="Y72" s="61">
        <f>Y71+X72</f>
        <v>60.4</v>
      </c>
    </row>
    <row r="73">
      <c r="U73" s="82" t="n">
        <v>69</v>
      </c>
      <c r="V73" s="61">
        <f>MAX(LearnFloor,U73^LOG(LearnRate,2))</f>
        <v>0.7</v>
      </c>
      <c r="W73" s="61">
        <f>W72+V73</f>
        <v>49.2944785504393</v>
      </c>
      <c r="X73" s="61">
        <f>1-IF(U73&gt;=PBAt4,PBDisc4,IF(U73&gt;=PBAt3,PBDisc3,IF(U73&gt;=PBAt2,PBDisc2,IF(U73&gt;=PBAt1,PBDisc1,0))))</f>
        <v>0.86</v>
      </c>
      <c r="Y73" s="61">
        <f>Y72+X73</f>
        <v>61.26</v>
      </c>
    </row>
    <row r="74">
      <c r="U74" s="82" t="n">
        <v>70</v>
      </c>
      <c r="V74" s="61">
        <f>MAX(LearnFloor,U74^LOG(LearnRate,2))</f>
        <v>0.7</v>
      </c>
      <c r="W74" s="61">
        <f>W73+V74</f>
        <v>49.9944785504393</v>
      </c>
      <c r="X74" s="61">
        <f>1-IF(U74&gt;=PBAt4,PBDisc4,IF(U74&gt;=PBAt3,PBDisc3,IF(U74&gt;=PBAt2,PBDisc2,IF(U74&gt;=PBAt1,PBDisc1,0))))</f>
        <v>0.86</v>
      </c>
      <c r="Y74" s="61">
        <f>Y73+X74</f>
        <v>62.12</v>
      </c>
    </row>
    <row r="75">
      <c r="U75" s="82" t="n">
        <v>71</v>
      </c>
      <c r="V75" s="61">
        <f>MAX(LearnFloor,U75^LOG(LearnRate,2))</f>
        <v>0.7</v>
      </c>
      <c r="W75" s="61">
        <f>W74+V75</f>
        <v>50.6944785504393</v>
      </c>
      <c r="X75" s="61">
        <f>1-IF(U75&gt;=PBAt4,PBDisc4,IF(U75&gt;=PBAt3,PBDisc3,IF(U75&gt;=PBAt2,PBDisc2,IF(U75&gt;=PBAt1,PBDisc1,0))))</f>
        <v>0.86</v>
      </c>
      <c r="Y75" s="61">
        <f>Y74+X75</f>
        <v>62.98</v>
      </c>
    </row>
    <row r="76">
      <c r="U76" s="82" t="n">
        <v>72</v>
      </c>
      <c r="V76" s="61">
        <f>MAX(LearnFloor,U76^LOG(LearnRate,2))</f>
        <v>0.7</v>
      </c>
      <c r="W76" s="61">
        <f>W75+V76</f>
        <v>51.3944785504393</v>
      </c>
      <c r="X76" s="61">
        <f>1-IF(U76&gt;=PBAt4,PBDisc4,IF(U76&gt;=PBAt3,PBDisc3,IF(U76&gt;=PBAt2,PBDisc2,IF(U76&gt;=PBAt1,PBDisc1,0))))</f>
        <v>0.86</v>
      </c>
      <c r="Y76" s="61">
        <f>Y75+X76</f>
        <v>63.84</v>
      </c>
    </row>
    <row r="77">
      <c r="U77" s="82" t="n">
        <v>73</v>
      </c>
      <c r="V77" s="61">
        <f>MAX(LearnFloor,U77^LOG(LearnRate,2))</f>
        <v>0.7</v>
      </c>
      <c r="W77" s="61">
        <f>W76+V77</f>
        <v>52.0944785504393</v>
      </c>
      <c r="X77" s="61">
        <f>1-IF(U77&gt;=PBAt4,PBDisc4,IF(U77&gt;=PBAt3,PBDisc3,IF(U77&gt;=PBAt2,PBDisc2,IF(U77&gt;=PBAt1,PBDisc1,0))))</f>
        <v>0.86</v>
      </c>
      <c r="Y77" s="61">
        <f>Y76+X77</f>
        <v>64.7</v>
      </c>
    </row>
    <row r="78">
      <c r="U78" s="82" t="n">
        <v>74</v>
      </c>
      <c r="V78" s="61">
        <f>MAX(LearnFloor,U78^LOG(LearnRate,2))</f>
        <v>0.7</v>
      </c>
      <c r="W78" s="61">
        <f>W77+V78</f>
        <v>52.7944785504393</v>
      </c>
      <c r="X78" s="61">
        <f>1-IF(U78&gt;=PBAt4,PBDisc4,IF(U78&gt;=PBAt3,PBDisc3,IF(U78&gt;=PBAt2,PBDisc2,IF(U78&gt;=PBAt1,PBDisc1,0))))</f>
        <v>0.86</v>
      </c>
      <c r="Y78" s="61">
        <f>Y77+X78</f>
        <v>65.56</v>
      </c>
    </row>
    <row r="79">
      <c r="U79" s="82" t="n">
        <v>75</v>
      </c>
      <c r="V79" s="61">
        <f>MAX(LearnFloor,U79^LOG(LearnRate,2))</f>
        <v>0.7</v>
      </c>
      <c r="W79" s="61">
        <f>W78+V79</f>
        <v>53.4944785504393</v>
      </c>
      <c r="X79" s="61">
        <f>1-IF(U79&gt;=PBAt4,PBDisc4,IF(U79&gt;=PBAt3,PBDisc3,IF(U79&gt;=PBAt2,PBDisc2,IF(U79&gt;=PBAt1,PBDisc1,0))))</f>
        <v>0.86</v>
      </c>
      <c r="Y79" s="61">
        <f>Y78+X79</f>
        <v>66.42</v>
      </c>
    </row>
    <row r="80">
      <c r="U80" s="82" t="n">
        <v>76</v>
      </c>
      <c r="V80" s="61">
        <f>MAX(LearnFloor,U80^LOG(LearnRate,2))</f>
        <v>0.7</v>
      </c>
      <c r="W80" s="61">
        <f>W79+V80</f>
        <v>54.1944785504393</v>
      </c>
      <c r="X80" s="61">
        <f>1-IF(U80&gt;=PBAt4,PBDisc4,IF(U80&gt;=PBAt3,PBDisc3,IF(U80&gt;=PBAt2,PBDisc2,IF(U80&gt;=PBAt1,PBDisc1,0))))</f>
        <v>0.86</v>
      </c>
      <c r="Y80" s="61">
        <f>Y79+X80</f>
        <v>67.28</v>
      </c>
    </row>
    <row r="81">
      <c r="U81" s="82" t="n">
        <v>77</v>
      </c>
      <c r="V81" s="61">
        <f>MAX(LearnFloor,U81^LOG(LearnRate,2))</f>
        <v>0.7</v>
      </c>
      <c r="W81" s="61">
        <f>W80+V81</f>
        <v>54.8944785504393</v>
      </c>
      <c r="X81" s="61">
        <f>1-IF(U81&gt;=PBAt4,PBDisc4,IF(U81&gt;=PBAt3,PBDisc3,IF(U81&gt;=PBAt2,PBDisc2,IF(U81&gt;=PBAt1,PBDisc1,0))))</f>
        <v>0.86</v>
      </c>
      <c r="Y81" s="61">
        <f>Y80+X81</f>
        <v>68.14</v>
      </c>
    </row>
    <row r="82">
      <c r="U82" s="82" t="n">
        <v>78</v>
      </c>
      <c r="V82" s="61">
        <f>MAX(LearnFloor,U82^LOG(LearnRate,2))</f>
        <v>0.7</v>
      </c>
      <c r="W82" s="61">
        <f>W81+V82</f>
        <v>55.5944785504393</v>
      </c>
      <c r="X82" s="61">
        <f>1-IF(U82&gt;=PBAt4,PBDisc4,IF(U82&gt;=PBAt3,PBDisc3,IF(U82&gt;=PBAt2,PBDisc2,IF(U82&gt;=PBAt1,PBDisc1,0))))</f>
        <v>0.86</v>
      </c>
      <c r="Y82" s="61">
        <f>Y81+X82</f>
        <v>69</v>
      </c>
    </row>
    <row r="83">
      <c r="U83" s="82" t="n">
        <v>79</v>
      </c>
      <c r="V83" s="61">
        <f>MAX(LearnFloor,U83^LOG(LearnRate,2))</f>
        <v>0.7</v>
      </c>
      <c r="W83" s="61">
        <f>W82+V83</f>
        <v>56.2944785504393</v>
      </c>
      <c r="X83" s="61">
        <f>1-IF(U83&gt;=PBAt4,PBDisc4,IF(U83&gt;=PBAt3,PBDisc3,IF(U83&gt;=PBAt2,PBDisc2,IF(U83&gt;=PBAt1,PBDisc1,0))))</f>
        <v>0.86</v>
      </c>
      <c r="Y83" s="61">
        <f>Y82+X83</f>
        <v>69.86</v>
      </c>
    </row>
    <row r="84">
      <c r="U84" s="82" t="n">
        <v>80</v>
      </c>
      <c r="V84" s="61">
        <f>MAX(LearnFloor,U84^LOG(LearnRate,2))</f>
        <v>0.7</v>
      </c>
      <c r="W84" s="61">
        <f>W83+V84</f>
        <v>56.9944785504394</v>
      </c>
      <c r="X84" s="61">
        <f>1-IF(U84&gt;=PBAt4,PBDisc4,IF(U84&gt;=PBAt3,PBDisc3,IF(U84&gt;=PBAt2,PBDisc2,IF(U84&gt;=PBAt1,PBDisc1,0))))</f>
        <v>0.86</v>
      </c>
      <c r="Y84" s="61">
        <f>Y83+X84</f>
        <v>70.72</v>
      </c>
    </row>
    <row r="85">
      <c r="U85" s="82" t="n">
        <v>81</v>
      </c>
      <c r="V85" s="61">
        <f>MAX(LearnFloor,U85^LOG(LearnRate,2))</f>
        <v>0.7</v>
      </c>
      <c r="W85" s="61">
        <f>W84+V85</f>
        <v>57.6944785504394</v>
      </c>
      <c r="X85" s="61">
        <f>1-IF(U85&gt;=PBAt4,PBDisc4,IF(U85&gt;=PBAt3,PBDisc3,IF(U85&gt;=PBAt2,PBDisc2,IF(U85&gt;=PBAt1,PBDisc1,0))))</f>
        <v>0.86</v>
      </c>
      <c r="Y85" s="61">
        <f>Y84+X85</f>
        <v>71.58</v>
      </c>
    </row>
    <row r="86">
      <c r="U86" s="82" t="n">
        <v>82</v>
      </c>
      <c r="V86" s="61">
        <f>MAX(LearnFloor,U86^LOG(LearnRate,2))</f>
        <v>0.7</v>
      </c>
      <c r="W86" s="61">
        <f>W85+V86</f>
        <v>58.3944785504394</v>
      </c>
      <c r="X86" s="61">
        <f>1-IF(U86&gt;=PBAt4,PBDisc4,IF(U86&gt;=PBAt3,PBDisc3,IF(U86&gt;=PBAt2,PBDisc2,IF(U86&gt;=PBAt1,PBDisc1,0))))</f>
        <v>0.86</v>
      </c>
      <c r="Y86" s="61">
        <f>Y85+X86</f>
        <v>72.44</v>
      </c>
    </row>
    <row r="87">
      <c r="U87" s="82" t="n">
        <v>83</v>
      </c>
      <c r="V87" s="61">
        <f>MAX(LearnFloor,U87^LOG(LearnRate,2))</f>
        <v>0.7</v>
      </c>
      <c r="W87" s="61">
        <f>W86+V87</f>
        <v>59.0944785504394</v>
      </c>
      <c r="X87" s="61">
        <f>1-IF(U87&gt;=PBAt4,PBDisc4,IF(U87&gt;=PBAt3,PBDisc3,IF(U87&gt;=PBAt2,PBDisc2,IF(U87&gt;=PBAt1,PBDisc1,0))))</f>
        <v>0.86</v>
      </c>
      <c r="Y87" s="61">
        <f>Y86+X87</f>
        <v>73.3</v>
      </c>
    </row>
    <row r="88">
      <c r="U88" s="82" t="n">
        <v>84</v>
      </c>
      <c r="V88" s="61">
        <f>MAX(LearnFloor,U88^LOG(LearnRate,2))</f>
        <v>0.7</v>
      </c>
      <c r="W88" s="61">
        <f>W87+V88</f>
        <v>59.7944785504394</v>
      </c>
      <c r="X88" s="61">
        <f>1-IF(U88&gt;=PBAt4,PBDisc4,IF(U88&gt;=PBAt3,PBDisc3,IF(U88&gt;=PBAt2,PBDisc2,IF(U88&gt;=PBAt1,PBDisc1,0))))</f>
        <v>0.86</v>
      </c>
      <c r="Y88" s="61">
        <f>Y87+X88</f>
        <v>74.16</v>
      </c>
    </row>
    <row r="89">
      <c r="U89" s="82" t="n">
        <v>85</v>
      </c>
      <c r="V89" s="61">
        <f>MAX(LearnFloor,U89^LOG(LearnRate,2))</f>
        <v>0.7</v>
      </c>
      <c r="W89" s="61">
        <f>W88+V89</f>
        <v>60.4944785504394</v>
      </c>
      <c r="X89" s="61">
        <f>1-IF(U89&gt;=PBAt4,PBDisc4,IF(U89&gt;=PBAt3,PBDisc3,IF(U89&gt;=PBAt2,PBDisc2,IF(U89&gt;=PBAt1,PBDisc1,0))))</f>
        <v>0.86</v>
      </c>
      <c r="Y89" s="61">
        <f>Y88+X89</f>
        <v>75.02</v>
      </c>
    </row>
    <row r="90">
      <c r="U90" s="82" t="n">
        <v>86</v>
      </c>
      <c r="V90" s="61">
        <f>MAX(LearnFloor,U90^LOG(LearnRate,2))</f>
        <v>0.7</v>
      </c>
      <c r="W90" s="61">
        <f>W89+V90</f>
        <v>61.1944785504394</v>
      </c>
      <c r="X90" s="61">
        <f>1-IF(U90&gt;=PBAt4,PBDisc4,IF(U90&gt;=PBAt3,PBDisc3,IF(U90&gt;=PBAt2,PBDisc2,IF(U90&gt;=PBAt1,PBDisc1,0))))</f>
        <v>0.86</v>
      </c>
      <c r="Y90" s="61">
        <f>Y89+X90</f>
        <v>75.88</v>
      </c>
    </row>
    <row r="91">
      <c r="U91" s="82" t="n">
        <v>87</v>
      </c>
      <c r="V91" s="61">
        <f>MAX(LearnFloor,U91^LOG(LearnRate,2))</f>
        <v>0.7</v>
      </c>
      <c r="W91" s="61">
        <f>W90+V91</f>
        <v>61.8944785504394</v>
      </c>
      <c r="X91" s="61">
        <f>1-IF(U91&gt;=PBAt4,PBDisc4,IF(U91&gt;=PBAt3,PBDisc3,IF(U91&gt;=PBAt2,PBDisc2,IF(U91&gt;=PBAt1,PBDisc1,0))))</f>
        <v>0.86</v>
      </c>
      <c r="Y91" s="61">
        <f>Y90+X91</f>
        <v>76.74</v>
      </c>
    </row>
    <row r="92">
      <c r="U92" s="82" t="n">
        <v>88</v>
      </c>
      <c r="V92" s="61">
        <f>MAX(LearnFloor,U92^LOG(LearnRate,2))</f>
        <v>0.7</v>
      </c>
      <c r="W92" s="61">
        <f>W91+V92</f>
        <v>62.5944785504394</v>
      </c>
      <c r="X92" s="61">
        <f>1-IF(U92&gt;=PBAt4,PBDisc4,IF(U92&gt;=PBAt3,PBDisc3,IF(U92&gt;=PBAt2,PBDisc2,IF(U92&gt;=PBAt1,PBDisc1,0))))</f>
        <v>0.86</v>
      </c>
      <c r="Y92" s="61">
        <f>Y91+X92</f>
        <v>77.6</v>
      </c>
    </row>
    <row r="93">
      <c r="U93" s="82" t="n">
        <v>89</v>
      </c>
      <c r="V93" s="61">
        <f>MAX(LearnFloor,U93^LOG(LearnRate,2))</f>
        <v>0.7</v>
      </c>
      <c r="W93" s="61">
        <f>W92+V93</f>
        <v>63.2944785504394</v>
      </c>
      <c r="X93" s="61">
        <f>1-IF(U93&gt;=PBAt4,PBDisc4,IF(U93&gt;=PBAt3,PBDisc3,IF(U93&gt;=PBAt2,PBDisc2,IF(U93&gt;=PBAt1,PBDisc1,0))))</f>
        <v>0.86</v>
      </c>
      <c r="Y93" s="61">
        <f>Y92+X93</f>
        <v>78.46</v>
      </c>
    </row>
    <row r="94">
      <c r="U94" s="82" t="n">
        <v>90</v>
      </c>
      <c r="V94" s="61">
        <f>MAX(LearnFloor,U94^LOG(LearnRate,2))</f>
        <v>0.7</v>
      </c>
      <c r="W94" s="61">
        <f>W93+V94</f>
        <v>63.9944785504394</v>
      </c>
      <c r="X94" s="61">
        <f>1-IF(U94&gt;=PBAt4,PBDisc4,IF(U94&gt;=PBAt3,PBDisc3,IF(U94&gt;=PBAt2,PBDisc2,IF(U94&gt;=PBAt1,PBDisc1,0))))</f>
        <v>0.86</v>
      </c>
      <c r="Y94" s="61">
        <f>Y93+X94</f>
        <v>79.32</v>
      </c>
    </row>
    <row r="95">
      <c r="U95" s="82" t="n">
        <v>91</v>
      </c>
      <c r="V95" s="61">
        <f>MAX(LearnFloor,U95^LOG(LearnRate,2))</f>
        <v>0.7</v>
      </c>
      <c r="W95" s="61">
        <f>W94+V95</f>
        <v>64.6944785504394</v>
      </c>
      <c r="X95" s="61">
        <f>1-IF(U95&gt;=PBAt4,PBDisc4,IF(U95&gt;=PBAt3,PBDisc3,IF(U95&gt;=PBAt2,PBDisc2,IF(U95&gt;=PBAt1,PBDisc1,0))))</f>
        <v>0.86</v>
      </c>
      <c r="Y95" s="61">
        <f>Y94+X95</f>
        <v>80.18</v>
      </c>
    </row>
    <row r="96">
      <c r="U96" s="82" t="n">
        <v>92</v>
      </c>
      <c r="V96" s="61">
        <f>MAX(LearnFloor,U96^LOG(LearnRate,2))</f>
        <v>0.7</v>
      </c>
      <c r="W96" s="61">
        <f>W95+V96</f>
        <v>65.3944785504394</v>
      </c>
      <c r="X96" s="61">
        <f>1-IF(U96&gt;=PBAt4,PBDisc4,IF(U96&gt;=PBAt3,PBDisc3,IF(U96&gt;=PBAt2,PBDisc2,IF(U96&gt;=PBAt1,PBDisc1,0))))</f>
        <v>0.86</v>
      </c>
      <c r="Y96" s="61">
        <f>Y95+X96</f>
        <v>81.04</v>
      </c>
    </row>
    <row r="97">
      <c r="U97" s="82" t="n">
        <v>93</v>
      </c>
      <c r="V97" s="61">
        <f>MAX(LearnFloor,U97^LOG(LearnRate,2))</f>
        <v>0.7</v>
      </c>
      <c r="W97" s="61">
        <f>W96+V97</f>
        <v>66.0944785504394</v>
      </c>
      <c r="X97" s="61">
        <f>1-IF(U97&gt;=PBAt4,PBDisc4,IF(U97&gt;=PBAt3,PBDisc3,IF(U97&gt;=PBAt2,PBDisc2,IF(U97&gt;=PBAt1,PBDisc1,0))))</f>
        <v>0.86</v>
      </c>
      <c r="Y97" s="61">
        <f>Y96+X97</f>
        <v>81.9</v>
      </c>
    </row>
    <row r="98">
      <c r="U98" s="82" t="n">
        <v>94</v>
      </c>
      <c r="V98" s="61">
        <f>MAX(LearnFloor,U98^LOG(LearnRate,2))</f>
        <v>0.7</v>
      </c>
      <c r="W98" s="61">
        <f>W97+V98</f>
        <v>66.7944785504394</v>
      </c>
      <c r="X98" s="61">
        <f>1-IF(U98&gt;=PBAt4,PBDisc4,IF(U98&gt;=PBAt3,PBDisc3,IF(U98&gt;=PBAt2,PBDisc2,IF(U98&gt;=PBAt1,PBDisc1,0))))</f>
        <v>0.86</v>
      </c>
      <c r="Y98" s="61">
        <f>Y97+X98</f>
        <v>82.76</v>
      </c>
    </row>
    <row r="99">
      <c r="U99" s="82" t="n">
        <v>95</v>
      </c>
      <c r="V99" s="61">
        <f>MAX(LearnFloor,U99^LOG(LearnRate,2))</f>
        <v>0.7</v>
      </c>
      <c r="W99" s="61">
        <f>W98+V99</f>
        <v>67.4944785504394</v>
      </c>
      <c r="X99" s="61">
        <f>1-IF(U99&gt;=PBAt4,PBDisc4,IF(U99&gt;=PBAt3,PBDisc3,IF(U99&gt;=PBAt2,PBDisc2,IF(U99&gt;=PBAt1,PBDisc1,0))))</f>
        <v>0.86</v>
      </c>
      <c r="Y99" s="61">
        <f>Y98+X99</f>
        <v>83.62</v>
      </c>
    </row>
    <row r="100">
      <c r="U100" s="82" t="n">
        <v>96</v>
      </c>
      <c r="V100" s="61">
        <f>MAX(LearnFloor,U100^LOG(LearnRate,2))</f>
        <v>0.7</v>
      </c>
      <c r="W100" s="61">
        <f>W99+V100</f>
        <v>68.1944785504394</v>
      </c>
      <c r="X100" s="61">
        <f>1-IF(U100&gt;=PBAt4,PBDisc4,IF(U100&gt;=PBAt3,PBDisc3,IF(U100&gt;=PBAt2,PBDisc2,IF(U100&gt;=PBAt1,PBDisc1,0))))</f>
        <v>0.86</v>
      </c>
      <c r="Y100" s="61">
        <f>Y99+X100</f>
        <v>84.48</v>
      </c>
    </row>
    <row r="101">
      <c r="U101" s="82" t="n">
        <v>97</v>
      </c>
      <c r="V101" s="61">
        <f>MAX(LearnFloor,U101^LOG(LearnRate,2))</f>
        <v>0.7</v>
      </c>
      <c r="W101" s="61">
        <f>W100+V101</f>
        <v>68.8944785504394</v>
      </c>
      <c r="X101" s="61">
        <f>1-IF(U101&gt;=PBAt4,PBDisc4,IF(U101&gt;=PBAt3,PBDisc3,IF(U101&gt;=PBAt2,PBDisc2,IF(U101&gt;=PBAt1,PBDisc1,0))))</f>
        <v>0.86</v>
      </c>
      <c r="Y101" s="61">
        <f>Y100+X101</f>
        <v>85.34</v>
      </c>
    </row>
    <row r="102">
      <c r="U102" s="82" t="n">
        <v>98</v>
      </c>
      <c r="V102" s="61">
        <f>MAX(LearnFloor,U102^LOG(LearnRate,2))</f>
        <v>0.7</v>
      </c>
      <c r="W102" s="61">
        <f>W101+V102</f>
        <v>69.5944785504394</v>
      </c>
      <c r="X102" s="61">
        <f>1-IF(U102&gt;=PBAt4,PBDisc4,IF(U102&gt;=PBAt3,PBDisc3,IF(U102&gt;=PBAt2,PBDisc2,IF(U102&gt;=PBAt1,PBDisc1,0))))</f>
        <v>0.86</v>
      </c>
      <c r="Y102" s="61">
        <f>Y101+X102</f>
        <v>86.2</v>
      </c>
    </row>
    <row r="103">
      <c r="U103" s="82" t="n">
        <v>99</v>
      </c>
      <c r="V103" s="61">
        <f>MAX(LearnFloor,U103^LOG(LearnRate,2))</f>
        <v>0.7</v>
      </c>
      <c r="W103" s="61">
        <f>W102+V103</f>
        <v>70.2944785504394</v>
      </c>
      <c r="X103" s="61">
        <f>1-IF(U103&gt;=PBAt4,PBDisc4,IF(U103&gt;=PBAt3,PBDisc3,IF(U103&gt;=PBAt2,PBDisc2,IF(U103&gt;=PBAt1,PBDisc1,0))))</f>
        <v>0.86</v>
      </c>
      <c r="Y103" s="61">
        <f>Y102+X103</f>
        <v>87.06</v>
      </c>
    </row>
    <row r="104">
      <c r="U104" s="82" t="n">
        <v>100</v>
      </c>
      <c r="V104" s="61">
        <f>MAX(LearnFloor,U104^LOG(LearnRate,2))</f>
        <v>0.7</v>
      </c>
      <c r="W104" s="61">
        <f>W103+V104</f>
        <v>70.9944785504394</v>
      </c>
      <c r="X104" s="61">
        <f>1-IF(U104&gt;=PBAt4,PBDisc4,IF(U104&gt;=PBAt3,PBDisc3,IF(U104&gt;=PBAt2,PBDisc2,IF(U104&gt;=PBAt1,PBDisc1,0))))</f>
        <v>0.86</v>
      </c>
      <c r="Y104" s="61">
        <f>Y103+X104</f>
        <v>87.9199999999999</v>
      </c>
    </row>
  </sheetData>
  <conditionalFormatting sqref="C6:E13">
    <cfRule type="expression" priority="1" dxfId="7">
      <formula>C$5=Outlook</formula>
    </cfRule>
  </conditionalFormatting>
  <pageMargins left="0.75" right="0.75" top="1" bottom="1" header="0.5" footer="0.5"/>
  <pageSetup orientation="landscape" fitToHeight="0" fitToWidth="1"/>
  <drawing xmlns:r="http://schemas.openxmlformats.org/officeDocument/2006/relationships" r:id="rId1"/>
</worksheet>
</file>

<file path=xl/worksheets/sheet5.xml><?xml version="1.0" encoding="utf-8"?>
<worksheet xmlns="http://schemas.openxmlformats.org/spreadsheetml/2006/main">
  <sheetPr>
    <tabColor rgb="00C34501"/>
    <outlinePr summaryBelow="1" summaryRight="1"/>
    <pageSetUpPr fitToPage="1"/>
  </sheetPr>
  <dimension ref="B1:M102"/>
  <sheetViews>
    <sheetView showGridLines="0" zoomScale="100" workbookViewId="0">
      <selection activeCell="A1" sqref="A1"/>
    </sheetView>
  </sheetViews>
  <sheetFormatPr baseColWidth="8" defaultRowHeight="15"/>
  <cols>
    <col width="2" customWidth="1" min="1" max="1"/>
    <col width="58" customWidth="1" min="2" max="2"/>
    <col width="14" customWidth="1" min="3" max="3"/>
    <col width="14" customWidth="1" min="4" max="4"/>
    <col width="14" customWidth="1" min="5" max="5"/>
    <col width="14" customWidth="1" min="6" max="6"/>
    <col width="14" customWidth="1" min="7" max="7"/>
    <col width="14" customWidth="1" min="8" max="8"/>
    <col width="14" customWidth="1" min="9" max="9"/>
    <col width="12" customWidth="1" min="10" max="10"/>
    <col width="12" customWidth="1" min="11" max="11"/>
    <col width="12" customWidth="1" min="12" max="12"/>
    <col width="50" customWidth="1" min="13" max="13"/>
  </cols>
  <sheetData>
    <row r="1" ht="30" customHeight="1">
      <c r="B1" s="32" t="inlineStr">
        <is>
          <t>Store P&amp;L · what one store earns</t>
        </is>
      </c>
    </row>
    <row r="2">
      <c r="B2" s="33" t="inlineStr">
        <is>
          <t>Sales come from the street (passers-by x capture x conversion x spend), capped by what the store can serve. Running costs come from the store's size, team and the tech left on in the Switchboard.</t>
        </is>
      </c>
    </row>
    <row r="4" ht="20" customHeight="1">
      <c r="B4" s="4" t="inlineStr">
        <is>
          <t>Margin on every sale</t>
        </is>
      </c>
      <c r="C4" s="5" t="n"/>
      <c r="D4" s="5" t="n"/>
      <c r="E4" s="5" t="n"/>
      <c r="F4" s="5" t="n"/>
      <c r="G4" s="5" t="n"/>
      <c r="H4" s="5" t="n"/>
      <c r="I4" s="5" t="n"/>
      <c r="J4" s="5" t="n"/>
      <c r="K4" s="5" t="n"/>
      <c r="L4" s="5" t="n"/>
      <c r="M4" s="5" t="n"/>
    </row>
    <row r="5">
      <c r="B5" s="10" t="inlineStr"/>
      <c r="C5" s="11" t="inlineStr">
        <is>
          <t>Share of sales</t>
        </is>
      </c>
      <c r="D5" s="11" t="inlineStr"/>
      <c r="E5" s="11" t="inlineStr"/>
    </row>
    <row r="6">
      <c r="B6" s="8" t="inlineStr">
        <is>
          <t>Gross margin (Control Panel)</t>
        </is>
      </c>
      <c r="C6" s="60">
        <f>GrossMargin</f>
        <v>0.6</v>
      </c>
    </row>
    <row r="7">
      <c r="B7" s="8" t="inlineStr">
        <is>
          <t>less: Card and payment fees</t>
        </is>
      </c>
      <c r="C7" s="57" t="n">
        <v>0.02</v>
      </c>
    </row>
    <row r="8">
      <c r="B8" s="8" t="inlineStr">
        <is>
          <t>less: Shrink and damages</t>
        </is>
      </c>
      <c r="C8" s="57" t="n">
        <v>0.013</v>
      </c>
    </row>
    <row r="9">
      <c r="B9" s="8" t="inlineStr">
        <is>
          <t>less: Packaging and consumables</t>
        </is>
      </c>
      <c r="C9" s="57" t="n">
        <v>0.007</v>
      </c>
    </row>
    <row r="10">
      <c r="B10" s="8" t="inlineStr">
        <is>
          <t>less: Staff incentives</t>
        </is>
      </c>
      <c r="C10" s="57" t="n">
        <v>0.015</v>
      </c>
    </row>
    <row r="11">
      <c r="B11" s="8" t="inlineStr">
        <is>
          <t>less: Local marketing</t>
        </is>
      </c>
      <c r="C11" s="57" t="n">
        <v>0.015</v>
      </c>
    </row>
    <row r="12">
      <c r="B12" s="34" t="inlineStr">
        <is>
          <t>Variable costs</t>
        </is>
      </c>
      <c r="C12" s="84">
        <f>SUM(C7:C11)</f>
        <v>0.07</v>
      </c>
    </row>
    <row r="13">
      <c r="B13" s="34" t="inlineStr">
        <is>
          <t>Contribution margin (kept from each $ of sales)</t>
        </is>
      </c>
      <c r="C13" s="84">
        <f>GrossMargin-VarCosts</f>
        <v>0.53</v>
      </c>
    </row>
    <row r="14">
      <c r="B14" s="8" t="inlineStr">
        <is>
          <t>Mature years of sales in the payback period (with the ramp)</t>
        </is>
      </c>
      <c r="C14" s="86">
        <f>IF(PaybackYears&gt;=1,Ramp1,0)+IF(PaybackYears&gt;=2,Ramp2,0)+MAX(0,PaybackYears-2)</f>
        <v>2.67</v>
      </c>
      <c r="D14" s="38" t="inlineStr">
        <is>
          <t>3 years at 75% / 92% / 100% = 2.67 years of mature sales.</t>
        </is>
      </c>
    </row>
    <row r="16" ht="20" customHeight="1">
      <c r="B16" s="4" t="inlineStr">
        <is>
          <t>Running costs, per store per year</t>
        </is>
      </c>
      <c r="C16" s="5" t="n"/>
      <c r="D16" s="5" t="n"/>
      <c r="E16" s="5" t="n"/>
      <c r="F16" s="5" t="n"/>
      <c r="G16" s="5" t="n"/>
      <c r="H16" s="5" t="n"/>
      <c r="I16" s="5" t="n"/>
      <c r="J16" s="5" t="n"/>
      <c r="K16" s="5" t="n"/>
      <c r="L16" s="5" t="n"/>
      <c r="M16" s="5" t="n"/>
    </row>
    <row r="17">
      <c r="B17" s="10" t="inlineStr"/>
      <c r="C17" s="28" t="inlineStr">
        <is>
          <t>SPLUS</t>
        </is>
      </c>
      <c r="D17" s="29" t="inlineStr">
        <is>
          <t>S</t>
        </is>
      </c>
      <c r="E17" s="30" t="inlineStr">
        <is>
          <t>D</t>
        </is>
      </c>
      <c r="F17" s="11" t="inlineStr">
        <is>
          <t>Notes</t>
        </is>
      </c>
    </row>
    <row r="18">
      <c r="B18" s="8" t="inlineStr">
        <is>
          <t>Rent at the reference street ($ per ft² per year)</t>
        </is>
      </c>
      <c r="C18" s="54" t="n">
        <v>85</v>
      </c>
      <c r="F18" s="38" t="inlineStr">
        <is>
          <t>The reference street is the median of the 78 Melbourne streets.</t>
        </is>
      </c>
    </row>
    <row r="19">
      <c r="B19" s="8" t="inlineStr">
        <is>
          <t>Rent rises with passers-by (elasticity)</t>
        </is>
      </c>
      <c r="C19" s="87" t="n">
        <v>0.55</v>
      </c>
      <c r="F19" s="38" t="inlineStr">
        <is>
          <t>0.55: a street with twice the passers-by charges 1.46x the rent.</t>
        </is>
      </c>
    </row>
    <row r="20">
      <c r="B20" s="8" t="inlineStr">
        <is>
          <t>Reference street: passers-by per year</t>
        </is>
      </c>
      <c r="C20" s="46">
        <f>MEDIAN(Melb_F)</f>
        <v>3006146.5</v>
      </c>
      <c r="F20" s="38" t="inlineStr">
        <is>
          <t>Calculated: median of the 78.</t>
        </is>
      </c>
    </row>
    <row r="21">
      <c r="B21" s="8" t="inlineStr">
        <is>
          <t>Store team (full-time equivalents)</t>
        </is>
      </c>
      <c r="C21" s="88" t="n">
        <v>8</v>
      </c>
      <c r="D21" s="88" t="n">
        <v>5</v>
      </c>
      <c r="E21" s="88" t="n">
        <v>3.5</v>
      </c>
      <c r="F21" s="38" t="inlineStr">
        <is>
          <t>Opening hours times floor cover.</t>
        </is>
      </c>
    </row>
    <row r="22">
      <c r="B22" s="8" t="inlineStr">
        <is>
          <t>Cost per team member per year (with on-costs)</t>
        </is>
      </c>
      <c r="C22" s="54" t="n">
        <v>48000</v>
      </c>
      <c r="F22" s="38" t="inlineStr"/>
    </row>
    <row r="23">
      <c r="B23" s="8" t="inlineStr">
        <is>
          <t>Other occupancy ($ per ft² per year)</t>
        </is>
      </c>
      <c r="C23" s="54" t="n">
        <v>9</v>
      </c>
      <c r="F23" s="38" t="inlineStr">
        <is>
          <t>Cleaning, insurance, repairs, water.</t>
        </is>
      </c>
    </row>
    <row r="24">
      <c r="B24" s="8" t="inlineStr">
        <is>
          <t>Building energy (kWh per ft² per year)</t>
        </is>
      </c>
      <c r="C24" s="36" t="n">
        <v>12</v>
      </c>
      <c r="F24" s="38" t="inlineStr">
        <is>
          <t>Lighting and air, before the tech.</t>
        </is>
      </c>
    </row>
    <row r="25">
      <c r="B25" s="8" t="inlineStr">
        <is>
          <t>Opening hours per day</t>
        </is>
      </c>
      <c r="C25" s="36" t="n">
        <v>13</v>
      </c>
      <c r="F25" s="38" t="inlineStr"/>
    </row>
    <row r="26">
      <c r="B26" s="8" t="inlineStr">
        <is>
          <t>Days open per year</t>
        </is>
      </c>
      <c r="C26" s="36" t="n">
        <v>360</v>
      </c>
      <c r="F26" s="38" t="inlineStr"/>
    </row>
    <row r="27">
      <c r="B27" s="8" t="inlineStr">
        <is>
          <t>Electricity price ($ per kWh)</t>
        </is>
      </c>
      <c r="C27" s="89" t="n">
        <v>0.16</v>
      </c>
      <c r="F27" s="38" t="inlineStr"/>
    </row>
    <row r="28">
      <c r="B28" s="8" t="inlineStr">
        <is>
          <t>Tech support contract (share of tech hardware per year)</t>
        </is>
      </c>
      <c r="C28" s="57" t="n">
        <v>0.06</v>
      </c>
      <c r="F28" s="38" t="inlineStr"/>
    </row>
    <row r="29">
      <c r="B29" s="8" t="inlineStr">
        <is>
          <t>Tech refresh: share of hardware replaced</t>
        </is>
      </c>
      <c r="C29" s="42" t="n">
        <v>0.65</v>
      </c>
      <c r="F29" s="38" t="inlineStr">
        <is>
          <t>Screens and players are replaced, cheaper than the first time.</t>
        </is>
      </c>
    </row>
    <row r="30">
      <c r="B30" s="8" t="inlineStr">
        <is>
          <t>Tech refresh: hardware life (years)</t>
        </is>
      </c>
      <c r="C30" s="36" t="n">
        <v>6</v>
      </c>
      <c r="F30" s="38" t="inlineStr">
        <is>
          <t>Set aside every year.</t>
        </is>
      </c>
    </row>
    <row r="31">
      <c r="B31" s="8" t="inlineStr">
        <is>
          <t>Content refresh per screen zone per year</t>
        </is>
      </c>
      <c r="C31" s="54" t="n">
        <v>6000</v>
      </c>
      <c r="F31" s="38" t="inlineStr">
        <is>
          <t>Each screen surface needs new content through the year.</t>
        </is>
      </c>
    </row>
    <row r="32">
      <c r="B32" s="8" t="inlineStr">
        <is>
          <t>Most a store can sell per ft² per year (capacity)</t>
        </is>
      </c>
      <c r="C32" s="54" t="n">
        <v>1600</v>
      </c>
      <c r="D32" s="54" t="n">
        <v>1400</v>
      </c>
      <c r="E32" s="54" t="n">
        <v>1200</v>
      </c>
      <c r="F32" s="38" t="inlineStr">
        <is>
          <t>Fitting rooms, tills and space run out: caps the busiest streets.</t>
        </is>
      </c>
    </row>
    <row r="33">
      <c r="B33" s="8" t="inlineStr">
        <is>
          <t>Opening stock (weeks of cost of sales)</t>
        </is>
      </c>
      <c r="C33" s="36" t="n">
        <v>7</v>
      </c>
      <c r="F33" s="38" t="inlineStr">
        <is>
          <t>Cash tied up when a store opens.</t>
        </is>
      </c>
    </row>
    <row r="35" ht="20" customHeight="1">
      <c r="B35" s="4" t="inlineStr">
        <is>
          <t>Software licences, per store per year (the price falls as the fleet grows)</t>
        </is>
      </c>
      <c r="C35" s="5" t="n"/>
      <c r="D35" s="5" t="n"/>
      <c r="E35" s="5" t="n"/>
      <c r="F35" s="5" t="n"/>
      <c r="G35" s="5" t="n"/>
      <c r="H35" s="5" t="n"/>
      <c r="I35" s="5" t="n"/>
      <c r="J35" s="5" t="n"/>
      <c r="K35" s="5" t="n"/>
      <c r="L35" s="5" t="n"/>
      <c r="M35" s="5" t="n"/>
    </row>
    <row r="36">
      <c r="B36" s="10" t="inlineStr">
        <is>
          <t>Step</t>
        </is>
      </c>
      <c r="C36" s="11" t="inlineStr">
        <is>
          <t>From stores open</t>
        </is>
      </c>
      <c r="D36" s="11" t="inlineStr">
        <is>
          <t>List price</t>
        </is>
      </c>
      <c r="E36" s="11" t="inlineStr"/>
      <c r="F36" s="11" t="inlineStr">
        <is>
          <t>Notes</t>
        </is>
      </c>
    </row>
    <row r="37">
      <c r="B37" s="8" t="inlineStr">
        <is>
          <t>Step 1</t>
        </is>
      </c>
      <c r="C37" s="36" t="n">
        <v>1</v>
      </c>
      <c r="D37" s="54" t="n">
        <v>16000</v>
      </c>
      <c r="F37" s="38" t="inlineStr">
        <is>
          <t>Bigger fleets get a lower price per store. The scale outlook adds a negotiated discount.</t>
        </is>
      </c>
    </row>
    <row r="38">
      <c r="B38" s="8" t="inlineStr">
        <is>
          <t>Step 2</t>
        </is>
      </c>
      <c r="C38" s="36" t="n">
        <v>6</v>
      </c>
      <c r="D38" s="54" t="n">
        <v>12500</v>
      </c>
    </row>
    <row r="39">
      <c r="B39" s="8" t="inlineStr">
        <is>
          <t>Step 3</t>
        </is>
      </c>
      <c r="C39" s="36" t="n">
        <v>16</v>
      </c>
      <c r="D39" s="54" t="n">
        <v>9500</v>
      </c>
    </row>
    <row r="40">
      <c r="B40" s="8" t="inlineStr">
        <is>
          <t>Step 4</t>
        </is>
      </c>
      <c r="C40" s="36" t="n">
        <v>41</v>
      </c>
      <c r="D40" s="54" t="n">
        <v>7000</v>
      </c>
    </row>
    <row r="41">
      <c r="B41" s="8" t="inlineStr">
        <is>
          <t>Size factor (a flagship runs more screens)</t>
        </is>
      </c>
      <c r="C41" s="87" t="n">
        <v>1.5</v>
      </c>
      <c r="D41" s="87" t="n">
        <v>1</v>
      </c>
      <c r="E41" s="87" t="n">
        <v>0.6</v>
      </c>
    </row>
    <row r="42">
      <c r="B42" s="34" t="inlineStr">
        <is>
          <t>Licence per store at your planned fleet size</t>
        </is>
      </c>
      <c r="C42" s="67">
        <f>IF(MAX(PlanStores,1)&gt;=LicFrom4,LicPrice4,IF(MAX(PlanStores,1)&gt;=LicFrom3,LicPrice3,IF(MAX(PlanStores,1)&gt;=LicFrom2,LicPrice2,LicPrice1)))*C41*(1-LicDisc)</f>
        <v>12825</v>
      </c>
      <c r="D42" s="67">
        <f>IF(MAX(PlanStores,1)&gt;=LicFrom4,LicPrice4,IF(MAX(PlanStores,1)&gt;=LicFrom3,LicPrice3,IF(MAX(PlanStores,1)&gt;=LicFrom2,LicPrice2,LicPrice1)))*D41*(1-LicDisc)</f>
        <v>8550</v>
      </c>
      <c r="E42" s="67">
        <f>IF(MAX(PlanStores,1)&gt;=LicFrom4,LicPrice4,IF(MAX(PlanStores,1)&gt;=LicFrom3,LicPrice3,IF(MAX(PlanStores,1)&gt;=LicFrom2,LicPrice2,LicPrice1)))*E41*(1-LicDisc)</f>
        <v>5130</v>
      </c>
    </row>
    <row r="44" ht="20" customHeight="1">
      <c r="B44" s="4" t="inlineStr">
        <is>
          <t>Tech that drives running costs (follows the Switchboard)</t>
        </is>
      </c>
      <c r="C44" s="5" t="n"/>
      <c r="D44" s="5" t="n"/>
      <c r="E44" s="5" t="n"/>
      <c r="F44" s="5" t="n"/>
      <c r="G44" s="5" t="n"/>
      <c r="H44" s="5" t="n"/>
      <c r="I44" s="5" t="n"/>
      <c r="J44" s="5" t="n"/>
      <c r="K44" s="5" t="n"/>
      <c r="L44" s="5" t="n"/>
      <c r="M44" s="5" t="n"/>
    </row>
    <row r="45" ht="30" customHeight="1">
      <c r="B45" s="10" t="inlineStr">
        <is>
          <t>Line item</t>
        </is>
      </c>
      <c r="C45" s="11" t="inlineStr">
        <is>
          <t>kW: SPLUS</t>
        </is>
      </c>
      <c r="D45" s="11" t="inlineStr">
        <is>
          <t>kW: S</t>
        </is>
      </c>
      <c r="E45" s="11" t="inlineStr">
        <is>
          <t>kW: D</t>
        </is>
      </c>
      <c r="F45" s="11" t="inlineStr">
        <is>
          <t>Zones: SPLUS</t>
        </is>
      </c>
      <c r="G45" s="11" t="inlineStr">
        <is>
          <t>Zones: S</t>
        </is>
      </c>
      <c r="H45" s="11" t="inlineStr">
        <is>
          <t>Zones: D</t>
        </is>
      </c>
      <c r="I45" s="11" t="inlineStr">
        <is>
          <t>Tech hardware? (1 = yes)</t>
        </is>
      </c>
      <c r="J45" s="11" t="inlineStr">
        <is>
          <t>On: SPLUS</t>
        </is>
      </c>
      <c r="K45" s="11" t="inlineStr">
        <is>
          <t>On: S</t>
        </is>
      </c>
      <c r="L45" s="11" t="inlineStr">
        <is>
          <t>On: D</t>
        </is>
      </c>
    </row>
    <row r="46">
      <c r="B46" s="8" t="inlineStr">
        <is>
          <t>Feature LED wall</t>
        </is>
      </c>
      <c r="C46" s="87" t="n">
        <v>6</v>
      </c>
      <c r="D46" s="87" t="n">
        <v>3.2</v>
      </c>
      <c r="E46" s="87" t="n">
        <v>1.8</v>
      </c>
      <c r="F46" s="36" t="n">
        <v>2</v>
      </c>
      <c r="G46" s="36" t="n">
        <v>1</v>
      </c>
      <c r="H46" s="36" t="n">
        <v>1</v>
      </c>
      <c r="I46" s="90" t="n">
        <v>1</v>
      </c>
      <c r="J46" s="91">
        <f>IF(Switchboard!J27&gt;0,1,0)</f>
        <v>1</v>
      </c>
      <c r="K46" s="91">
        <f>IF(Switchboard!K27&gt;0,1,0)</f>
        <v>1</v>
      </c>
      <c r="L46" s="91">
        <f>IF(Switchboard!L27&gt;0,1,0)</f>
        <v>1</v>
      </c>
    </row>
    <row r="47">
      <c r="B47" s="8" t="inlineStr">
        <is>
          <t>Projection package (lower-cost screen)</t>
        </is>
      </c>
      <c r="C47" s="87" t="n">
        <v>1.6</v>
      </c>
      <c r="D47" s="87" t="n">
        <v>1.2</v>
      </c>
      <c r="E47" s="87" t="n">
        <v>0.9</v>
      </c>
      <c r="F47" s="36" t="n">
        <v>2</v>
      </c>
      <c r="G47" s="36" t="n">
        <v>1</v>
      </c>
      <c r="H47" s="36" t="n">
        <v>1</v>
      </c>
      <c r="I47" s="90" t="n">
        <v>1</v>
      </c>
      <c r="J47" s="91">
        <f>IF(Switchboard!J28&gt;0,1,0)</f>
        <v>0</v>
      </c>
      <c r="K47" s="91">
        <f>IF(Switchboard!K28&gt;0,1,0)</f>
        <v>0</v>
      </c>
      <c r="L47" s="91">
        <f>IF(Switchboard!L28&gt;0,1,0)</f>
        <v>0</v>
      </c>
    </row>
    <row r="48">
      <c r="B48" s="8" t="inlineStr">
        <is>
          <t>Immersive LED room</t>
        </is>
      </c>
      <c r="C48" s="87" t="n">
        <v>7</v>
      </c>
      <c r="D48" s="87" t="n">
        <v>3.4</v>
      </c>
      <c r="E48" s="87" t="n">
        <v>0</v>
      </c>
      <c r="F48" s="36" t="n">
        <v>3</v>
      </c>
      <c r="G48" s="36" t="n">
        <v>2</v>
      </c>
      <c r="H48" s="36" t="n">
        <v>0</v>
      </c>
      <c r="I48" s="90" t="n">
        <v>1</v>
      </c>
      <c r="J48" s="91">
        <f>IF(Switchboard!J29&gt;0,1,0)</f>
        <v>0</v>
      </c>
      <c r="K48" s="91">
        <f>IF(Switchboard!K29&gt;0,1,0)</f>
        <v>0</v>
      </c>
      <c r="L48" s="91">
        <f>IF(Switchboard!L29&gt;0,1,0)</f>
        <v>0</v>
      </c>
    </row>
    <row r="49">
      <c r="B49" s="8" t="inlineStr">
        <is>
          <t>Exterior facade screen</t>
        </is>
      </c>
      <c r="C49" s="87" t="n">
        <v>4</v>
      </c>
      <c r="D49" s="87" t="n">
        <v>2.4</v>
      </c>
      <c r="E49" s="87" t="n">
        <v>1.3</v>
      </c>
      <c r="F49" s="36" t="n">
        <v>1</v>
      </c>
      <c r="G49" s="36" t="n">
        <v>1</v>
      </c>
      <c r="H49" s="36" t="n">
        <v>1</v>
      </c>
      <c r="I49" s="90" t="n">
        <v>1</v>
      </c>
      <c r="J49" s="91">
        <f>IF(Switchboard!J30&gt;0,1,0)</f>
        <v>0</v>
      </c>
      <c r="K49" s="91">
        <f>IF(Switchboard!K30&gt;0,1,0)</f>
        <v>0</v>
      </c>
      <c r="L49" s="91">
        <f>IF(Switchboard!L30&gt;0,1,0)</f>
        <v>0</v>
      </c>
    </row>
    <row r="50">
      <c r="B50" s="8" t="inlineStr">
        <is>
          <t>Interactive displays and kiosks</t>
        </is>
      </c>
      <c r="C50" s="87" t="n">
        <v>1.2</v>
      </c>
      <c r="D50" s="87" t="n">
        <v>0.6</v>
      </c>
      <c r="E50" s="87" t="n">
        <v>0.3</v>
      </c>
      <c r="F50" s="36" t="n">
        <v>1</v>
      </c>
      <c r="G50" s="36" t="n">
        <v>1</v>
      </c>
      <c r="H50" s="36" t="n">
        <v>1</v>
      </c>
      <c r="I50" s="90" t="n">
        <v>1</v>
      </c>
      <c r="J50" s="91">
        <f>IF(Switchboard!J31&gt;0,1,0)</f>
        <v>1</v>
      </c>
      <c r="K50" s="91">
        <f>IF(Switchboard!K31&gt;0,1,0)</f>
        <v>1</v>
      </c>
      <c r="L50" s="91">
        <f>IF(Switchboard!L31&gt;0,1,0)</f>
        <v>0</v>
      </c>
    </row>
    <row r="51">
      <c r="B51" s="8" t="inlineStr">
        <is>
          <t>People counting and dwell sensors</t>
        </is>
      </c>
      <c r="C51" s="87" t="n">
        <v>0.1</v>
      </c>
      <c r="D51" s="87" t="n">
        <v>0.06</v>
      </c>
      <c r="E51" s="87" t="n">
        <v>0.04</v>
      </c>
      <c r="F51" s="36" t="n">
        <v>0</v>
      </c>
      <c r="G51" s="36" t="n">
        <v>0</v>
      </c>
      <c r="H51" s="36" t="n">
        <v>0</v>
      </c>
      <c r="I51" s="90" t="n">
        <v>1</v>
      </c>
      <c r="J51" s="91">
        <f>IF(Switchboard!J32&gt;0,1,0)</f>
        <v>1</v>
      </c>
      <c r="K51" s="91">
        <f>IF(Switchboard!K32&gt;0,1,0)</f>
        <v>1</v>
      </c>
      <c r="L51" s="91">
        <f>IF(Switchboard!L32&gt;0,1,0)</f>
        <v>1</v>
      </c>
    </row>
    <row r="52">
      <c r="B52" s="8" t="inlineStr">
        <is>
          <t>Media players and edge computing</t>
        </is>
      </c>
      <c r="C52" s="87" t="n">
        <v>0.8</v>
      </c>
      <c r="D52" s="87" t="n">
        <v>0.4</v>
      </c>
      <c r="E52" s="87" t="n">
        <v>0.25</v>
      </c>
      <c r="F52" s="36" t="n">
        <v>0</v>
      </c>
      <c r="G52" s="36" t="n">
        <v>0</v>
      </c>
      <c r="H52" s="36" t="n">
        <v>0</v>
      </c>
      <c r="I52" s="90" t="n">
        <v>1</v>
      </c>
      <c r="J52" s="91">
        <f>IF(Switchboard!J33&gt;0,1,0)</f>
        <v>1</v>
      </c>
      <c r="K52" s="91">
        <f>IF(Switchboard!K33&gt;0,1,0)</f>
        <v>1</v>
      </c>
      <c r="L52" s="91">
        <f>IF(Switchboard!L33&gt;0,1,0)</f>
        <v>1</v>
      </c>
    </row>
    <row r="53">
      <c r="B53" s="8" t="inlineStr">
        <is>
          <t>Audio system</t>
        </is>
      </c>
      <c r="C53" s="87" t="n">
        <v>0.6</v>
      </c>
      <c r="D53" s="87" t="n">
        <v>0.3</v>
      </c>
      <c r="E53" s="87" t="n">
        <v>0.15</v>
      </c>
      <c r="F53" s="36" t="n">
        <v>0</v>
      </c>
      <c r="G53" s="36" t="n">
        <v>0</v>
      </c>
      <c r="H53" s="36" t="n">
        <v>0</v>
      </c>
      <c r="I53" s="90" t="n">
        <v>1</v>
      </c>
      <c r="J53" s="91">
        <f>IF(Switchboard!J34&gt;0,1,0)</f>
        <v>1</v>
      </c>
      <c r="K53" s="91">
        <f>IF(Switchboard!K34&gt;0,1,0)</f>
        <v>1</v>
      </c>
      <c r="L53" s="91">
        <f>IF(Switchboard!L34&gt;0,1,0)</f>
        <v>1</v>
      </c>
    </row>
    <row r="54">
      <c r="B54" s="8" t="inlineStr">
        <is>
          <t>Network, wifi and security</t>
        </is>
      </c>
      <c r="C54" s="87" t="n">
        <v>0.2</v>
      </c>
      <c r="D54" s="87" t="n">
        <v>0.12</v>
      </c>
      <c r="E54" s="87" t="n">
        <v>0.1</v>
      </c>
      <c r="F54" s="36" t="n">
        <v>0</v>
      </c>
      <c r="G54" s="36" t="n">
        <v>0</v>
      </c>
      <c r="H54" s="36" t="n">
        <v>0</v>
      </c>
      <c r="I54" s="90" t="n">
        <v>1</v>
      </c>
      <c r="J54" s="91">
        <f>IF(Switchboard!J35&gt;0,1,0)</f>
        <v>1</v>
      </c>
      <c r="K54" s="91">
        <f>IF(Switchboard!K35&gt;0,1,0)</f>
        <v>1</v>
      </c>
      <c r="L54" s="91">
        <f>IF(Switchboard!L35&gt;0,1,0)</f>
        <v>1</v>
      </c>
    </row>
    <row r="55">
      <c r="B55" s="8" t="inlineStr">
        <is>
          <t>Point of sale and clienteling devices</t>
        </is>
      </c>
      <c r="C55" s="87" t="n">
        <v>0.2</v>
      </c>
      <c r="D55" s="87" t="n">
        <v>0.12</v>
      </c>
      <c r="E55" s="87" t="n">
        <v>0.08</v>
      </c>
      <c r="F55" s="36" t="n">
        <v>0</v>
      </c>
      <c r="G55" s="36" t="n">
        <v>0</v>
      </c>
      <c r="H55" s="36" t="n">
        <v>0</v>
      </c>
      <c r="I55" s="90" t="n">
        <v>1</v>
      </c>
      <c r="J55" s="91">
        <f>IF(Switchboard!J36&gt;0,1,0)</f>
        <v>1</v>
      </c>
      <c r="K55" s="91">
        <f>IF(Switchboard!K36&gt;0,1,0)</f>
        <v>1</v>
      </c>
      <c r="L55" s="91">
        <f>IF(Switchboard!L36&gt;0,1,0)</f>
        <v>1</v>
      </c>
    </row>
    <row r="56">
      <c r="B56" s="8" t="inlineStr">
        <is>
          <t>Systems integration and commissioning</t>
        </is>
      </c>
      <c r="C56" s="87" t="n">
        <v>0</v>
      </c>
      <c r="D56" s="87" t="n">
        <v>0</v>
      </c>
      <c r="E56" s="87" t="n">
        <v>0</v>
      </c>
      <c r="F56" s="36" t="n">
        <v>0</v>
      </c>
      <c r="G56" s="36" t="n">
        <v>0</v>
      </c>
      <c r="H56" s="36" t="n">
        <v>0</v>
      </c>
      <c r="I56" s="90" t="n">
        <v>0</v>
      </c>
      <c r="J56" s="91">
        <f>IF(Switchboard!J37&gt;0,1,0)</f>
        <v>1</v>
      </c>
      <c r="K56" s="91">
        <f>IF(Switchboard!K37&gt;0,1,0)</f>
        <v>1</v>
      </c>
      <c r="L56" s="91">
        <f>IF(Switchboard!L37&gt;0,1,0)</f>
        <v>1</v>
      </c>
    </row>
    <row r="58" ht="20" customHeight="1">
      <c r="B58" s="4" t="inlineStr">
        <is>
          <t>Per store, per year</t>
        </is>
      </c>
      <c r="C58" s="5" t="n"/>
      <c r="D58" s="5" t="n"/>
      <c r="E58" s="5" t="n"/>
      <c r="F58" s="5" t="n"/>
      <c r="G58" s="5" t="n"/>
      <c r="H58" s="5" t="n"/>
      <c r="I58" s="5" t="n"/>
      <c r="J58" s="5" t="n"/>
      <c r="K58" s="5" t="n"/>
      <c r="L58" s="5" t="n"/>
      <c r="M58" s="5" t="n"/>
    </row>
    <row r="59">
      <c r="B59" s="10" t="inlineStr"/>
      <c r="C59" s="28" t="inlineStr">
        <is>
          <t>SPLUS</t>
        </is>
      </c>
      <c r="D59" s="29" t="inlineStr">
        <is>
          <t>S</t>
        </is>
      </c>
      <c r="E59" s="30" t="inlineStr">
        <is>
          <t>D</t>
        </is>
      </c>
      <c r="F59" s="11" t="inlineStr">
        <is>
          <t>Notes</t>
        </is>
      </c>
    </row>
    <row r="60">
      <c r="B60" s="8" t="inlineStr">
        <is>
          <t>Tech hardware on in the Switchboard</t>
        </is>
      </c>
      <c r="C60" s="39">
        <f>SUMPRODUCT(Switchboard!J27:J37,$I$46:$I$56)</f>
        <v>311000</v>
      </c>
      <c r="D60" s="39">
        <f>SUMPRODUCT(Switchboard!K27:K37,$I$46:$I$56)</f>
        <v>184000</v>
      </c>
      <c r="E60" s="39">
        <f>SUMPRODUCT(Switchboard!L27:L37,$I$46:$I$56)</f>
        <v>91000</v>
      </c>
      <c r="F60" s="38" t="inlineStr">
        <is>
          <t>Turn a screen off in the Switchboard and its energy, support, refresh and content go too.</t>
        </is>
      </c>
    </row>
    <row r="61">
      <c r="B61" s="8" t="inlineStr">
        <is>
          <t>Power draw of the live tech (kW)</t>
        </is>
      </c>
      <c r="C61" s="92">
        <f>SUMPRODUCT(C46:C56,J46:J56)</f>
        <v>9.1</v>
      </c>
      <c r="D61" s="92">
        <f>SUMPRODUCT(D46:D56,K46:K56)</f>
        <v>4.8</v>
      </c>
      <c r="E61" s="92">
        <f>SUMPRODUCT(E46:E56,L46:L56)</f>
        <v>2.42</v>
      </c>
    </row>
    <row r="62">
      <c r="B62" s="8" t="inlineStr">
        <is>
          <t>Screen zones</t>
        </is>
      </c>
      <c r="C62" s="46">
        <f>SUMPRODUCT(F46:F56,J46:J56)</f>
        <v>3</v>
      </c>
      <c r="D62" s="46">
        <f>SUMPRODUCT(G46:G56,K46:K56)</f>
        <v>2</v>
      </c>
      <c r="E62" s="46">
        <f>SUMPRODUCT(H46:H56,L46:L56)</f>
        <v>1</v>
      </c>
    </row>
    <row r="63">
      <c r="B63" s="8" t="inlineStr">
        <is>
          <t>Store team</t>
        </is>
      </c>
      <c r="C63" s="39">
        <f>INDEX(FTE,1)*FTECost</f>
        <v>384000</v>
      </c>
      <c r="D63" s="39">
        <f>INDEX(FTE,2)*FTECost</f>
        <v>240000</v>
      </c>
      <c r="E63" s="39">
        <f>INDEX(FTE,3)*FTECost</f>
        <v>168000</v>
      </c>
    </row>
    <row r="64">
      <c r="B64" s="8" t="inlineStr">
        <is>
          <t>Other occupancy</t>
        </is>
      </c>
      <c r="C64" s="39">
        <f>OtherOccPsf*Area_SPLUS</f>
        <v>30600</v>
      </c>
      <c r="D64" s="39">
        <f>OtherOccPsf*Area_S</f>
        <v>14850</v>
      </c>
      <c r="E64" s="39">
        <f>OtherOccPsf*Area_D</f>
        <v>8100</v>
      </c>
    </row>
    <row r="65">
      <c r="B65" s="8" t="inlineStr">
        <is>
          <t>Energy</t>
        </is>
      </c>
      <c r="C65" s="39">
        <f>(KwhPsf*Area_SPLUS+C61*HoursOpen*DaysOpen)*KwhPrice</f>
        <v>13342.08</v>
      </c>
      <c r="D65" s="39">
        <f>(KwhPsf*Area_S+D61*HoursOpen*DaysOpen)*KwhPrice</f>
        <v>6762.24</v>
      </c>
      <c r="E65" s="39">
        <f>(KwhPsf*Area_D+E61*HoursOpen*DaysOpen)*KwhPrice</f>
        <v>3540.096</v>
      </c>
    </row>
    <row r="66">
      <c r="B66" s="8" t="inlineStr">
        <is>
          <t>Tech support contract</t>
        </is>
      </c>
      <c r="C66" s="39">
        <f>SupportPct*C60</f>
        <v>18660</v>
      </c>
      <c r="D66" s="39">
        <f>SupportPct*D60</f>
        <v>11040</v>
      </c>
      <c r="E66" s="39">
        <f>SupportPct*E60</f>
        <v>5460</v>
      </c>
    </row>
    <row r="67">
      <c r="B67" s="8" t="inlineStr">
        <is>
          <t>Tech refresh reserve</t>
        </is>
      </c>
      <c r="C67" s="39">
        <f>C60*RefreshShare/RefreshLife</f>
        <v>33691.6666666667</v>
      </c>
      <c r="D67" s="39">
        <f>D60*RefreshShare/RefreshLife</f>
        <v>19933.3333333333</v>
      </c>
      <c r="E67" s="39">
        <f>E60*RefreshShare/RefreshLife</f>
        <v>9858.33333333333</v>
      </c>
    </row>
    <row r="68">
      <c r="B68" s="8" t="inlineStr">
        <is>
          <t>Content refresh</t>
        </is>
      </c>
      <c r="C68" s="39">
        <f>C62*ContentPerZone</f>
        <v>18000</v>
      </c>
      <c r="D68" s="39">
        <f>D62*ContentPerZone</f>
        <v>12000</v>
      </c>
      <c r="E68" s="39">
        <f>E62*ContentPerZone</f>
        <v>6000</v>
      </c>
    </row>
    <row r="69">
      <c r="B69" s="34" t="inlineStr">
        <is>
          <t>Running costs before rent and licences</t>
        </is>
      </c>
      <c r="C69" s="80">
        <f>SUM(C63:C68)</f>
        <v>498293.746666667</v>
      </c>
      <c r="D69" s="80">
        <f>SUM(D63:D68)</f>
        <v>304585.573333333</v>
      </c>
      <c r="E69" s="80">
        <f>SUM(E63:E68)</f>
        <v>200958.429333333</v>
      </c>
      <c r="F69" s="38" t="inlineStr">
        <is>
          <t>Rent depends on the street, so it sits with each street (Melbourne, Rollout).</t>
        </is>
      </c>
    </row>
    <row r="71" ht="20" customHeight="1">
      <c r="B71" s="4" t="inlineStr">
        <is>
          <t>A typical store of each size</t>
        </is>
      </c>
      <c r="C71" s="5" t="n"/>
      <c r="D71" s="5" t="n"/>
      <c r="E71" s="5" t="n"/>
      <c r="F71" s="5" t="n"/>
      <c r="G71" s="5" t="n"/>
      <c r="H71" s="5" t="n"/>
      <c r="I71" s="5" t="n"/>
      <c r="J71" s="5" t="n"/>
      <c r="K71" s="5" t="n"/>
      <c r="L71" s="5" t="n"/>
      <c r="M71" s="5" t="n"/>
    </row>
    <row r="72">
      <c r="B72" s="10" t="inlineStr"/>
      <c r="C72" s="28" t="inlineStr">
        <is>
          <t>SPLUS</t>
        </is>
      </c>
      <c r="D72" s="29" t="inlineStr">
        <is>
          <t>S</t>
        </is>
      </c>
      <c r="E72" s="30" t="inlineStr">
        <is>
          <t>D</t>
        </is>
      </c>
      <c r="F72" s="11" t="inlineStr">
        <is>
          <t>Notes</t>
        </is>
      </c>
    </row>
    <row r="73">
      <c r="B73" s="8" t="inlineStr">
        <is>
          <t>Passers-by per year (median of the streets that pass the mix test)</t>
        </is>
      </c>
      <c r="C73" s="44">
        <f>INDEX(TypicalF,1)</f>
        <v>5918084.5</v>
      </c>
      <c r="D73" s="44">
        <f>INDEX(TypicalF,2)</f>
        <v>3804040</v>
      </c>
      <c r="E73" s="44">
        <f>INDEX(TypicalF,3)</f>
        <v>1667802.5</v>
      </c>
      <c r="F73" s="38" t="inlineStr">
        <is>
          <t>Melbourne sheet: the middle street of those used to place stores.</t>
        </is>
      </c>
    </row>
    <row r="74">
      <c r="B74" s="8" t="inlineStr">
        <is>
          <t>Street capture factor (average of those streets)</t>
        </is>
      </c>
      <c r="C74" s="93">
        <f>INDEX(TypicalQ,1)</f>
        <v>1.1</v>
      </c>
      <c r="D74" s="93">
        <f>INDEX(TypicalQ,2)</f>
        <v>0.810344827586207</v>
      </c>
      <c r="E74" s="93">
        <f>INDEX(TypicalQ,3)</f>
        <v>0.93125</v>
      </c>
    </row>
    <row r="75">
      <c r="B75" s="8" t="inlineStr">
        <is>
          <t>Capture this store wins</t>
        </is>
      </c>
      <c r="C75" s="41">
        <f>Capture*C74</f>
        <v>0.033</v>
      </c>
      <c r="D75" s="41">
        <f>Capture*D74</f>
        <v>0.0243103448275862</v>
      </c>
      <c r="E75" s="41">
        <f>Capture*E74</f>
        <v>0.0279375</v>
      </c>
    </row>
    <row r="76">
      <c r="B76" s="8" t="inlineStr">
        <is>
          <t>Visitors per year</t>
        </is>
      </c>
      <c r="C76" s="46">
        <f>C73*C75</f>
        <v>195296.7885</v>
      </c>
      <c r="D76" s="46">
        <f>D73*D75</f>
        <v>92477.524137931</v>
      </c>
      <c r="E76" s="46">
        <f>E73*E75</f>
        <v>46594.23234375</v>
      </c>
    </row>
    <row r="77">
      <c r="B77" s="8" t="inlineStr">
        <is>
          <t>Buyers per year</t>
        </is>
      </c>
      <c r="C77" s="46">
        <f>C76*Conversion</f>
        <v>39059.3577</v>
      </c>
      <c r="D77" s="46">
        <f>D76*Conversion</f>
        <v>18495.5048275862</v>
      </c>
      <c r="E77" s="46">
        <f>E76*Conversion</f>
        <v>9318.84646875</v>
      </c>
    </row>
    <row r="78">
      <c r="B78" s="8" t="inlineStr">
        <is>
          <t>Sales the street could give</t>
        </is>
      </c>
      <c r="C78" s="39">
        <f>C77*Ticket</f>
        <v>3124748.616</v>
      </c>
      <c r="D78" s="39">
        <f>D77*Ticket</f>
        <v>1479640.3862069</v>
      </c>
      <c r="E78" s="39">
        <f>E77*Ticket</f>
        <v>745507.7175</v>
      </c>
    </row>
    <row r="79">
      <c r="B79" s="8" t="inlineStr">
        <is>
          <t>Most the store can sell (capacity)</t>
        </is>
      </c>
      <c r="C79" s="39">
        <f>INDEX(CapacityPsf,1)*Area_SPLUS</f>
        <v>5440000</v>
      </c>
      <c r="D79" s="39">
        <f>INDEX(CapacityPsf,2)*Area_S</f>
        <v>2310000</v>
      </c>
      <c r="E79" s="39">
        <f>INDEX(CapacityPsf,3)*Area_D</f>
        <v>1080000</v>
      </c>
      <c r="F79" s="38" t="inlineStr">
        <is>
          <t>The busiest streets hit this cap: a store can only serve so many people.</t>
        </is>
      </c>
    </row>
    <row r="80">
      <c r="B80" s="34" t="inlineStr">
        <is>
          <t>Sales, mature year</t>
        </is>
      </c>
      <c r="C80" s="67">
        <f>MIN(C78,C79)</f>
        <v>3124748.616</v>
      </c>
      <c r="D80" s="67">
        <f>MIN(D78,D79)</f>
        <v>1479640.3862069</v>
      </c>
      <c r="E80" s="67">
        <f>MIN(E78,E79)</f>
        <v>745507.7175</v>
      </c>
    </row>
    <row r="81">
      <c r="B81" s="40" t="str">
        <f>"Sales per "&amp;AreaUnit</f>
        <v>Sales per ft²</v>
      </c>
      <c r="C81" s="39">
        <f>C80/Area_SPLUS*AreaFactor</f>
        <v>919.043710588235</v>
      </c>
      <c r="D81" s="39">
        <f>D80/Area_S*AreaFactor</f>
        <v>896.751749216301</v>
      </c>
      <c r="E81" s="39">
        <f>E80/Area_D*AreaFactor</f>
        <v>828.341908333333</v>
      </c>
    </row>
    <row r="82">
      <c r="B82" s="8" t="inlineStr">
        <is>
          <t>Kept after product costs and variable costs</t>
        </is>
      </c>
      <c r="C82" s="39">
        <f>C80*ContribMargin</f>
        <v>1656116.76648</v>
      </c>
      <c r="D82" s="39">
        <f>D80*ContribMargin</f>
        <v>784209.404689655</v>
      </c>
      <c r="E82" s="39">
        <f>E80*ContribMargin</f>
        <v>395119.090275</v>
      </c>
    </row>
    <row r="83">
      <c r="B83" s="8" t="inlineStr">
        <is>
          <t>less: Rent on this street</t>
        </is>
      </c>
      <c r="C83" s="39">
        <f>Area_SPLUS*RentPsf*(C73/Fref)^RentElasticity</f>
        <v>419461.30529843</v>
      </c>
      <c r="D83" s="39">
        <f>Area_S*RentPsf*(D73/Fref)^RentElasticity</f>
        <v>159636.458082801</v>
      </c>
      <c r="E83" s="39">
        <f>Area_D*RentPsf*(E73/Fref)^RentElasticity</f>
        <v>55326.7804424946</v>
      </c>
    </row>
    <row r="84">
      <c r="B84" s="8" t="inlineStr">
        <is>
          <t>less: Running costs before rent and licences</t>
        </is>
      </c>
      <c r="C84" s="39">
        <f>INDEX(RunOther,1)</f>
        <v>498293.746666667</v>
      </c>
      <c r="D84" s="39">
        <f>INDEX(RunOther,2)</f>
        <v>304585.573333333</v>
      </c>
      <c r="E84" s="39">
        <f>INDEX(RunOther,3)</f>
        <v>200958.429333333</v>
      </c>
    </row>
    <row r="85">
      <c r="B85" s="8" t="inlineStr">
        <is>
          <t>less: Software licences</t>
        </is>
      </c>
      <c r="C85" s="39">
        <f>INDEX(LicPlan,1)</f>
        <v>12825</v>
      </c>
      <c r="D85" s="39">
        <f>INDEX(LicPlan,2)</f>
        <v>8550</v>
      </c>
      <c r="E85" s="39">
        <f>INDEX(LicPlan,3)</f>
        <v>5130</v>
      </c>
    </row>
    <row r="86">
      <c r="B86" s="34" t="inlineStr">
        <is>
          <t>Store profit, mature year</t>
        </is>
      </c>
      <c r="C86" s="94">
        <f>C82-C83-C84-C85</f>
        <v>725536.714514904</v>
      </c>
      <c r="D86" s="94">
        <f>D82-D83-D84-D85</f>
        <v>311437.373273521</v>
      </c>
      <c r="E86" s="94">
        <f>E82-E83-E84-E85</f>
        <v>133703.880499172</v>
      </c>
    </row>
    <row r="87">
      <c r="B87" s="8" t="inlineStr">
        <is>
          <t>Store profit margin</t>
        </is>
      </c>
      <c r="C87" s="41">
        <f>IFERROR(C86/C80,0)</f>
        <v>0.232190426711402</v>
      </c>
      <c r="D87" s="41">
        <f>IFERROR(D86/D80,0)</f>
        <v>0.210481800967801</v>
      </c>
      <c r="E87" s="41">
        <f>IFERROR(E86/E80,0)</f>
        <v>0.179346071624231</v>
      </c>
    </row>
    <row r="88">
      <c r="B88" s="8" t="inlineStr">
        <is>
          <t>Dashboard view: profit at the flat margin, flat capture</t>
        </is>
      </c>
      <c r="C88" s="39">
        <f>C73*Capture*Conversion*Ticket*DashMargin</f>
        <v>710170.14</v>
      </c>
      <c r="D88" s="39">
        <f>D73*Capture*Conversion*Ticket*DashMargin</f>
        <v>456484.8</v>
      </c>
      <c r="E88" s="39">
        <f>E73*Capture*Conversion*Ticket*DashMargin</f>
        <v>200136.3</v>
      </c>
      <c r="F88" s="38" t="inlineStr">
        <is>
          <t>What the dashboard test assumes: compare with the store profit above.</t>
        </is>
      </c>
    </row>
    <row r="89">
      <c r="B89" s="8" t="inlineStr">
        <is>
          <t>Store build, first store</t>
        </is>
      </c>
      <c r="C89" s="37">
        <f>Pilot_SPLUS</f>
        <v>1416330</v>
      </c>
      <c r="D89" s="37">
        <f>Pilot_S</f>
        <v>799625</v>
      </c>
      <c r="E89" s="37">
        <f>Pilot_D</f>
        <v>453040</v>
      </c>
    </row>
    <row r="90">
      <c r="B90" s="8" t="inlineStr">
        <is>
          <t>Store build at scale (your rollout)</t>
        </is>
      </c>
      <c r="C90" s="37">
        <f>INDEX(AtScale,1)</f>
        <v>1231151.26415049</v>
      </c>
      <c r="D90" s="37">
        <f>INDEX(AtScale,2)</f>
        <v>682952.585715908</v>
      </c>
      <c r="E90" s="37">
        <f>INDEX(AtScale,3)</f>
        <v>388970.217516837</v>
      </c>
    </row>
    <row r="91">
      <c r="B91" s="8" t="inlineStr">
        <is>
          <t>Profit in year 1 (sales ramp)</t>
        </is>
      </c>
      <c r="C91" s="95">
        <f>Ramp1*C82-C83-C84-C85</f>
        <v>311507.522894904</v>
      </c>
      <c r="D91" s="95">
        <f>Ramp1*D82-D83-D84-D85</f>
        <v>115385.022101107</v>
      </c>
      <c r="E91" s="95">
        <f>Ramp1*E82-E83-E84-E85</f>
        <v>34924.1079304221</v>
      </c>
    </row>
    <row r="92">
      <c r="B92" s="8" t="inlineStr">
        <is>
          <t>Profit in year 2 (sales ramp)</t>
        </is>
      </c>
      <c r="C92" s="95">
        <f>Ramp2*C82-C83-C84-C85</f>
        <v>593047.373196504</v>
      </c>
      <c r="D92" s="95">
        <f>Ramp2*D82-D83-D84-D85</f>
        <v>248700.620898348</v>
      </c>
      <c r="E92" s="95">
        <f>Ramp2*E82-E83-E84-E85</f>
        <v>102094.353277172</v>
      </c>
    </row>
    <row r="93">
      <c r="B93" s="34" t="inlineStr">
        <is>
          <t>Years to repay the first-store build</t>
        </is>
      </c>
      <c r="C93" s="96">
        <f>IF(AND(C91&gt;=C89,C91&gt;0),C89/C91,IF(AND(C91+C92&gt;=C89,C92&gt;0),1+(C89-C91)/C92,IF(C86&gt;0,2+(C89-C91-C92)/C86,"Never")))</f>
        <v>2.70537450920146</v>
      </c>
      <c r="D93" s="96">
        <f>IF(AND(D91&gt;=D89,D91&gt;0),D89/D91,IF(AND(D91+D92&gt;=D89,D92&gt;0),1+(D89-D91)/D92,IF(D86&gt;0,2+(D89-D91-D92)/D86,"Never")))</f>
        <v>3.39848134609725</v>
      </c>
      <c r="E93" s="96">
        <f>IF(AND(E91&gt;=E89,E91&gt;0),E89/E91,IF(AND(E91+E92&gt;=E89,E92&gt;0),1+(E89-E91)/E92,IF(E86&gt;0,2+(E89-E91-E92)/E86,"Never")))</f>
        <v>4.36359287114605</v>
      </c>
      <c r="F93" s="38" t="inlineStr">
        <is>
          <t>From opening day, with the first two years' sales ramp.</t>
        </is>
      </c>
    </row>
    <row r="94">
      <c r="B94" s="34" t="inlineStr">
        <is>
          <t>Years to repay the build at scale</t>
        </is>
      </c>
      <c r="C94" s="96">
        <f>IF(AND(C91&gt;=C90,C91&gt;0),C90/C91,IF(AND(C91+C92&gt;=C90,C92&gt;0),1+(C90-C91)/C92,IF(C86&gt;0,2+(C90-C91-C92)/C86,"Never")))</f>
        <v>2.45014450892047</v>
      </c>
      <c r="D94" s="96">
        <f>IF(AND(D91&gt;=D90,D91&gt;0),D90/D91,IF(AND(D91+D92&gt;=D90,D92&gt;0),1+(D90-D91)/D92,IF(D86&gt;0,2+(D90-D91-D92)/D86,"Never")))</f>
        <v>3.02385574141228</v>
      </c>
      <c r="E94" s="96">
        <f>IF(AND(E91&gt;=E90,E91&gt;0),E90/E91,IF(AND(E91+E92&gt;=E90,E92&gt;0),1+(E90-E91)/E92,IF(E86&gt;0,2+(E90-E91-E92)/E86,"Never")))</f>
        <v>3.88440122581785</v>
      </c>
    </row>
    <row r="95">
      <c r="B95" s="8" t="inlineStr">
        <is>
          <t>Most you could spend on the build and still repay it in the payback period</t>
        </is>
      </c>
      <c r="C95" s="95">
        <f>C82*SumRamp-(C83+C84+C85)*PaybackYears</f>
        <v>1630091.61060631</v>
      </c>
      <c r="D95" s="95">
        <f>D82*SumRamp-(D83+D84+D85)*PaybackYears</f>
        <v>675523.016272975</v>
      </c>
      <c r="E95" s="95">
        <f>E82*SumRamp-(E83+E84+E85)*PaybackYears</f>
        <v>270722.341706766</v>
      </c>
    </row>
    <row r="96">
      <c r="B96" s="40" t="str">
        <f>"... per "&amp;AreaUnit</f>
        <v>... per ft²</v>
      </c>
      <c r="C96" s="95">
        <f>C95/Area_SPLUS*AreaFactor</f>
        <v>479.438709001856</v>
      </c>
      <c r="D96" s="95">
        <f>D95/Area_S*AreaFactor</f>
        <v>409.407888650288</v>
      </c>
      <c r="E96" s="95">
        <f>E95/Area_D*AreaFactor</f>
        <v>300.802601896407</v>
      </c>
    </row>
    <row r="98" ht="20" customHeight="1">
      <c r="B98" s="4" t="inlineStr">
        <is>
          <t>A typical store, year by year: cash after paying for its first-store build</t>
        </is>
      </c>
      <c r="C98" s="5" t="n"/>
      <c r="D98" s="5" t="n"/>
      <c r="E98" s="5" t="n"/>
      <c r="F98" s="5" t="n"/>
      <c r="G98" s="5" t="n"/>
      <c r="H98" s="5" t="n"/>
      <c r="I98" s="5" t="n"/>
      <c r="J98" s="5" t="n"/>
      <c r="K98" s="5" t="n"/>
      <c r="L98" s="5" t="n"/>
      <c r="M98" s="5" t="n"/>
    </row>
    <row r="99">
      <c r="B99" s="10" t="inlineStr"/>
      <c r="C99" s="11" t="inlineStr">
        <is>
          <t>Year 1</t>
        </is>
      </c>
      <c r="D99" s="11" t="inlineStr">
        <is>
          <t>Year 2</t>
        </is>
      </c>
      <c r="E99" s="11" t="inlineStr">
        <is>
          <t>Year 3</t>
        </is>
      </c>
      <c r="F99" s="11" t="inlineStr">
        <is>
          <t>Year 4</t>
        </is>
      </c>
      <c r="G99" s="11" t="inlineStr">
        <is>
          <t>Year 5</t>
        </is>
      </c>
      <c r="H99" s="11" t="inlineStr">
        <is>
          <t>Year 6</t>
        </is>
      </c>
      <c r="I99" s="11" t="inlineStr">
        <is>
          <t>Year 7</t>
        </is>
      </c>
      <c r="J99" s="11" t="inlineStr">
        <is>
          <t>Year 8</t>
        </is>
      </c>
      <c r="K99" s="11" t="inlineStr">
        <is>
          <t>Year 9</t>
        </is>
      </c>
      <c r="L99" s="11" t="inlineStr">
        <is>
          <t>Year 10</t>
        </is>
      </c>
    </row>
    <row r="100">
      <c r="B100" s="97" t="inlineStr">
        <is>
          <t>Flagship (SPLUS)</t>
        </is>
      </c>
      <c r="C100" s="95">
        <f>-C$89+C$91</f>
        <v>-1104822.4771051</v>
      </c>
      <c r="D100" s="95">
        <f>C100+C$92</f>
        <v>-511775.103908592</v>
      </c>
      <c r="E100" s="95">
        <f>D100+C$86</f>
        <v>213761.610606311</v>
      </c>
      <c r="F100" s="95">
        <f>E100+C$86</f>
        <v>939298.325121215</v>
      </c>
      <c r="G100" s="95">
        <f>F100+C$86</f>
        <v>1664835.03963612</v>
      </c>
      <c r="H100" s="95">
        <f>G100+C$86</f>
        <v>2390371.75415102</v>
      </c>
      <c r="I100" s="95">
        <f>H100+C$86</f>
        <v>3115908.46866593</v>
      </c>
      <c r="J100" s="95">
        <f>I100+C$86</f>
        <v>3841445.18318083</v>
      </c>
      <c r="K100" s="95">
        <f>J100+C$86</f>
        <v>4566981.89769573</v>
      </c>
      <c r="L100" s="95">
        <f>K100+C$86</f>
        <v>5292518.61221064</v>
      </c>
    </row>
    <row r="101">
      <c r="B101" s="98" t="inlineStr">
        <is>
          <t>Standard (S)</t>
        </is>
      </c>
      <c r="C101" s="95">
        <f>-D$89+D$91</f>
        <v>-684239.977898893</v>
      </c>
      <c r="D101" s="95">
        <f>C101+D$92</f>
        <v>-435539.357000545</v>
      </c>
      <c r="E101" s="95">
        <f>D101+D$86</f>
        <v>-124101.983727024</v>
      </c>
      <c r="F101" s="95">
        <f>E101+D$86</f>
        <v>187335.389546496</v>
      </c>
      <c r="G101" s="95">
        <f>F101+D$86</f>
        <v>498772.762820017</v>
      </c>
      <c r="H101" s="95">
        <f>G101+D$86</f>
        <v>810210.136093538</v>
      </c>
      <c r="I101" s="95">
        <f>H101+D$86</f>
        <v>1121647.50936706</v>
      </c>
      <c r="J101" s="95">
        <f>I101+D$86</f>
        <v>1433084.88264058</v>
      </c>
      <c r="K101" s="95">
        <f>J101+D$86</f>
        <v>1744522.2559141</v>
      </c>
      <c r="L101" s="95">
        <f>K101+D$86</f>
        <v>2055959.62918762</v>
      </c>
    </row>
    <row r="102">
      <c r="B102" s="99" t="inlineStr">
        <is>
          <t>Small (D)</t>
        </is>
      </c>
      <c r="C102" s="95">
        <f>-E$89+E$91</f>
        <v>-418115.892069578</v>
      </c>
      <c r="D102" s="95">
        <f>C102+E$92</f>
        <v>-316021.538792406</v>
      </c>
      <c r="E102" s="95">
        <f>D102+E$86</f>
        <v>-182317.658293234</v>
      </c>
      <c r="F102" s="95">
        <f>E102+E$86</f>
        <v>-48613.7777940617</v>
      </c>
      <c r="G102" s="95">
        <f>F102+E$86</f>
        <v>85090.1027051104</v>
      </c>
      <c r="H102" s="95">
        <f>G102+E$86</f>
        <v>218793.983204282</v>
      </c>
      <c r="I102" s="95">
        <f>H102+E$86</f>
        <v>352497.863703455</v>
      </c>
      <c r="J102" s="95">
        <f>I102+E$86</f>
        <v>486201.744202627</v>
      </c>
      <c r="K102" s="95">
        <f>J102+E$86</f>
        <v>619905.624701799</v>
      </c>
      <c r="L102" s="95">
        <f>K102+E$86</f>
        <v>753609.505200971</v>
      </c>
    </row>
  </sheetData>
  <conditionalFormatting sqref="J46:L56">
    <cfRule type="expression" priority="1" dxfId="0">
      <formula>J46=1</formula>
    </cfRule>
  </conditionalFormatting>
  <pageMargins left="0.75" right="0.75" top="1" bottom="1" header="0.5" footer="0.5"/>
  <pageSetup orientation="landscape" fitToHeight="0" fitToWidth="1"/>
  <drawing xmlns:r="http://schemas.openxmlformats.org/officeDocument/2006/relationships" r:id="rId1"/>
</worksheet>
</file>

<file path=xl/worksheets/sheet6.xml><?xml version="1.0" encoding="utf-8"?>
<worksheet xmlns="http://schemas.openxmlformats.org/spreadsheetml/2006/main">
  <sheetPr>
    <tabColor rgb="00C34501"/>
    <outlinePr summaryBelow="1" summaryRight="1"/>
    <pageSetUpPr fitToPage="1"/>
  </sheetPr>
  <dimension ref="A1:AA135"/>
  <sheetViews>
    <sheetView showGridLines="0" zoomScale="100" workbookViewId="0">
      <pane xSplit="2" ySplit="57" topLeftCell="C58" activePane="bottomRight" state="frozen"/>
      <selection pane="topRight"/>
      <selection pane="bottomLeft"/>
      <selection pane="bottomRight" activeCell="A1" sqref="A1"/>
    </sheetView>
  </sheetViews>
  <sheetFormatPr baseColWidth="8" defaultRowHeight="15"/>
  <cols>
    <col width="8" customWidth="1" min="1" max="1"/>
    <col width="52" customWidth="1" min="2" max="2"/>
    <col width="34" customWidth="1" min="3" max="3"/>
    <col width="13" customWidth="1" min="4" max="4"/>
    <col width="14" customWidth="1" min="5" max="5"/>
    <col width="12" customWidth="1" min="6" max="6"/>
    <col width="12" customWidth="1" min="7" max="7"/>
    <col width="13" customWidth="1" min="8" max="8"/>
    <col width="11" customWidth="1" min="9" max="9"/>
    <col width="11" customWidth="1" min="10" max="10"/>
    <col width="13" customWidth="1" min="11" max="11"/>
    <col width="11" customWidth="1" min="12" max="12"/>
    <col width="11" customWidth="1" min="13" max="13"/>
    <col width="11" customWidth="1" min="14" max="14"/>
    <col width="11" customWidth="1" min="15" max="15"/>
    <col width="13" customWidth="1" min="16" max="16"/>
    <col width="12" customWidth="1" min="17" max="17"/>
    <col width="13" customWidth="1" min="18" max="18"/>
    <col width="13" customWidth="1" min="19" max="19"/>
    <col width="11" customWidth="1" min="20" max="20"/>
    <col width="11" customWidth="1" min="21" max="21"/>
    <col width="13" customWidth="1" min="22" max="22"/>
    <col width="11" customWidth="1" min="23" max="23"/>
    <col width="8" customWidth="1" min="24" max="24"/>
    <col width="14" customWidth="1" min="25" max="25"/>
    <col width="8" customWidth="1" min="26" max="26"/>
    <col width="10" customWidth="1" min="27" max="27"/>
  </cols>
  <sheetData>
    <row r="1" ht="30" customHeight="1">
      <c r="B1" s="32" t="inlineStr">
        <is>
          <t>Melbourne · which streets can pay a store back</t>
        </is>
      </c>
    </row>
    <row r="2">
      <c r="B2" s="33" t="inlineStr">
        <is>
          <t>The same 78 streets, the same sizing rule and the same defaults as the Melbourne Site Tiering dashboard on Tableau Public. Four tests, from the dashboard's quick check to a full store P&amp;L.</t>
        </is>
      </c>
    </row>
    <row r="3">
      <c r="B3" s="3" t="inlineStr">
        <is>
          <t>Hourly counts: City of Melbourne Open Data (pedestrian counting system), 23 Aug 2024 to 22 Aug 2026, cleaned in Python. Store economics: illustrative.</t>
        </is>
      </c>
    </row>
    <row r="5" ht="20" customHeight="1">
      <c r="B5" s="4" t="inlineStr">
        <is>
          <t>Streets that pay back</t>
        </is>
      </c>
      <c r="C5" s="5" t="n"/>
      <c r="D5" s="5" t="n"/>
      <c r="E5" s="5" t="n"/>
      <c r="F5" s="5" t="n"/>
      <c r="G5" s="5" t="n"/>
      <c r="H5" s="5" t="n"/>
      <c r="I5" s="5" t="n"/>
      <c r="J5" s="5" t="n"/>
    </row>
    <row r="6" ht="18" customHeight="1">
      <c r="B6" s="10" t="inlineStr">
        <is>
          <t>Test</t>
        </is>
      </c>
      <c r="C6" s="11" t="inlineStr">
        <is>
          <t>What it checks</t>
        </is>
      </c>
      <c r="D6" s="28" t="inlineStr">
        <is>
          <t>SPLUS</t>
        </is>
      </c>
      <c r="E6" s="29" t="inlineStr">
        <is>
          <t>S</t>
        </is>
      </c>
      <c r="F6" s="30" t="inlineStr">
        <is>
          <t>D</t>
        </is>
      </c>
      <c r="G6" s="11" t="inlineStr">
        <is>
          <t>Total</t>
        </is>
      </c>
      <c r="H6" s="11" t="inlineStr">
        <is>
          <t>Mix: SPLUS</t>
        </is>
      </c>
      <c r="I6" s="11" t="inlineStr">
        <is>
          <t>Mix: S</t>
        </is>
      </c>
      <c r="J6" s="11" t="inlineStr">
        <is>
          <t>Mix: D</t>
        </is>
      </c>
    </row>
    <row r="7">
      <c r="B7" s="8" t="inlineStr">
        <is>
          <t>All 78 streets, by size</t>
        </is>
      </c>
      <c r="C7" s="38" t="inlineStr">
        <is>
          <t>No test: where the streets land</t>
        </is>
      </c>
      <c r="D7" s="46">
        <f>COUNTIF($G$58:$G$135,"SPLUS")</f>
        <v>14</v>
      </c>
      <c r="E7" s="46">
        <f>COUNTIF($G$58:$G$135,"S")</f>
        <v>34</v>
      </c>
      <c r="F7" s="46">
        <f>COUNTIF($G$58:$G$135,"D")</f>
        <v>30</v>
      </c>
      <c r="G7" s="47">
        <f>SUM(D7:F7)</f>
        <v>78</v>
      </c>
      <c r="H7" s="45">
        <f>IFERROR(D7/$G7,0)</f>
        <v>0.17948717948718</v>
      </c>
      <c r="I7" s="45">
        <f>IFERROR(E7/$G7,0)</f>
        <v>0.435897435897436</v>
      </c>
      <c r="J7" s="45">
        <f>IFERROR(F7/$G7,0)</f>
        <v>0.384615384615385</v>
      </c>
    </row>
    <row r="8">
      <c r="B8" s="34" t="inlineStr">
        <is>
          <t>A · Dashboard test (as on Tableau)</t>
        </is>
      </c>
      <c r="C8" s="38" t="inlineStr">
        <is>
          <t>Build cost against a flat margin</t>
        </is>
      </c>
      <c r="D8" s="47">
        <f>COUNTIFS($G$58:$G$135,"SPLUS",$J$58:$J$135,"Yes")</f>
        <v>14</v>
      </c>
      <c r="E8" s="47">
        <f>COUNTIFS($G$58:$G$135,"S",$J$58:$J$135,"Yes")</f>
        <v>29</v>
      </c>
      <c r="F8" s="47">
        <f>COUNTIFS($G$58:$G$135,"D",$J$58:$J$135,"Yes")</f>
        <v>16</v>
      </c>
      <c r="G8" s="47">
        <f>SUM(D8:F8)</f>
        <v>59</v>
      </c>
      <c r="H8" s="45">
        <f>IFERROR(D8/$G8,0)</f>
        <v>0.23728813559322</v>
      </c>
      <c r="I8" s="45">
        <f>IFERROR(E8/$G8,0)</f>
        <v>0.491525423728814</v>
      </c>
      <c r="J8" s="45">
        <f>IFERROR(F8/$G8,0)</f>
        <v>0.271186440677966</v>
      </c>
    </row>
    <row r="9">
      <c r="B9" s="8" t="inlineStr">
        <is>
          <t>B · Dashboard test, build at scale</t>
        </is>
      </c>
      <c r="C9" s="38" t="inlineStr">
        <is>
          <t>Same, with the at-scale build</t>
        </is>
      </c>
      <c r="D9" s="46">
        <f>COUNTIFS($G$58:$G$135,"SPLUS",$M$58:$M$135,"Yes")</f>
        <v>14</v>
      </c>
      <c r="E9" s="46">
        <f>COUNTIFS($G$58:$G$135,"S",$M$58:$M$135,"Yes")</f>
        <v>33</v>
      </c>
      <c r="F9" s="46">
        <f>COUNTIFS($G$58:$G$135,"D",$M$58:$M$135,"Yes")</f>
        <v>17</v>
      </c>
      <c r="G9" s="47">
        <f>SUM(D9:F9)</f>
        <v>64</v>
      </c>
      <c r="H9" s="45">
        <f>IFERROR(D9/$G9,0)</f>
        <v>0.21875</v>
      </c>
      <c r="I9" s="45">
        <f>IFERROR(E9/$G9,0)</f>
        <v>0.515625</v>
      </c>
      <c r="J9" s="45">
        <f>IFERROR(F9/$G9,0)</f>
        <v>0.265625</v>
      </c>
    </row>
    <row r="10">
      <c r="B10" s="8" t="inlineStr">
        <is>
          <t>C · Full store P&amp;L</t>
        </is>
      </c>
      <c r="C10" s="38" t="inlineStr">
        <is>
          <t>Rent, team, tech, ramp, street</t>
        </is>
      </c>
      <c r="D10" s="46">
        <f>COUNTIFS($G$58:$G$135,"SPLUS",$U$58:$U$135,"Yes")</f>
        <v>7</v>
      </c>
      <c r="E10" s="46">
        <f>COUNTIFS($G$58:$G$135,"S",$U$58:$U$135,"Yes")</f>
        <v>19</v>
      </c>
      <c r="F10" s="46">
        <f>COUNTIFS($G$58:$G$135,"D",$U$58:$U$135,"Yes")</f>
        <v>6</v>
      </c>
      <c r="G10" s="47">
        <f>SUM(D10:F10)</f>
        <v>32</v>
      </c>
      <c r="H10" s="45">
        <f>IFERROR(D10/$G10,0)</f>
        <v>0.21875</v>
      </c>
      <c r="I10" s="45">
        <f>IFERROR(E10/$G10,0)</f>
        <v>0.59375</v>
      </c>
      <c r="J10" s="45">
        <f>IFERROR(F10/$G10,0)</f>
        <v>0.1875</v>
      </c>
    </row>
    <row r="11">
      <c r="B11" s="8" t="inlineStr">
        <is>
          <t>D · Full store P&amp;L, build at scale</t>
        </is>
      </c>
      <c r="C11" s="38" t="inlineStr">
        <is>
          <t>The fullest view</t>
        </is>
      </c>
      <c r="D11" s="46">
        <f>COUNTIFS($G$58:$G$135,"SPLUS",$W$58:$W$135,"Yes")</f>
        <v>8</v>
      </c>
      <c r="E11" s="46">
        <f>COUNTIFS($G$58:$G$135,"S",$W$58:$W$135,"Yes")</f>
        <v>20</v>
      </c>
      <c r="F11" s="46">
        <f>COUNTIFS($G$58:$G$135,"D",$W$58:$W$135,"Yes")</f>
        <v>7</v>
      </c>
      <c r="G11" s="47">
        <f>SUM(D11:F11)</f>
        <v>35</v>
      </c>
      <c r="H11" s="45">
        <f>IFERROR(D11/$G11,0)</f>
        <v>0.228571428571429</v>
      </c>
      <c r="I11" s="45">
        <f>IFERROR(E11/$G11,0)</f>
        <v>0.571428571428571</v>
      </c>
      <c r="J11" s="45">
        <f>IFERROR(F11/$G11,0)</f>
        <v>0.2</v>
      </c>
    </row>
    <row r="13" ht="20" customHeight="1">
      <c r="B13" s="4" t="inlineStr">
        <is>
          <t>How much of each kind of street a store can win (full store P&amp;L only)</t>
        </is>
      </c>
      <c r="C13" s="5" t="n"/>
      <c r="D13" s="5" t="n"/>
      <c r="E13" s="5" t="n"/>
      <c r="F13" s="5" t="n"/>
      <c r="G13" s="5" t="n"/>
      <c r="H13" s="5" t="n"/>
      <c r="I13" s="5" t="n"/>
      <c r="J13" s="5" t="n"/>
    </row>
    <row r="14" ht="18" customHeight="1">
      <c r="B14" s="10" t="inlineStr">
        <is>
          <t>Kind of street</t>
        </is>
      </c>
      <c r="C14" s="11" t="inlineStr">
        <is>
          <t>Capture factor</t>
        </is>
      </c>
      <c r="D14" s="11" t="inlineStr">
        <is>
          <t>Why</t>
        </is>
      </c>
      <c r="E14" s="11" t="n"/>
      <c r="F14" s="11" t="n"/>
      <c r="G14" s="11" t="n"/>
      <c r="H14" s="11" t="inlineStr">
        <is>
          <t>Streets</t>
        </is>
      </c>
      <c r="I14" s="11" t="inlineStr">
        <is>
          <t>Pass A</t>
        </is>
      </c>
      <c r="J14" s="11" t="inlineStr">
        <is>
          <t>Pass C</t>
        </is>
      </c>
    </row>
    <row r="15">
      <c r="B15" s="8" t="inlineStr">
        <is>
          <t>Destination Retail</t>
        </is>
      </c>
      <c r="C15" s="87" t="n">
        <v>1.2</v>
      </c>
      <c r="D15" s="38" t="inlineStr">
        <is>
          <t>People are there to shop and browse, more at weekends.</t>
        </is>
      </c>
      <c r="H15" s="46">
        <f>COUNTIF($C$58:$C$135,B15)</f>
        <v>17</v>
      </c>
      <c r="I15" s="46">
        <f>COUNTIFS($C$58:$C$135,B15,$J$58:$J$135,"Yes")</f>
        <v>16</v>
      </c>
      <c r="J15" s="46">
        <f>COUNTIFS($C$58:$C$135,B15,$U$58:$U$135,"Yes")</f>
        <v>13</v>
      </c>
    </row>
    <row r="16">
      <c r="B16" s="8" t="inlineStr">
        <is>
          <t>Evening / Entertainment</t>
        </is>
      </c>
      <c r="C16" s="87" t="n">
        <v>1.1</v>
      </c>
      <c r="D16" s="38" t="inlineStr">
        <is>
          <t>Out for the evening, time to wander in.</t>
        </is>
      </c>
      <c r="H16" s="46">
        <f>COUNTIF($C$58:$C$135,B16)</f>
        <v>8</v>
      </c>
      <c r="I16" s="46">
        <f>COUNTIFS($C$58:$C$135,B16,$J$58:$J$135,"Yes")</f>
        <v>7</v>
      </c>
      <c r="J16" s="46">
        <f>COUNTIFS($C$58:$C$135,B16,$U$58:$U$135,"Yes")</f>
        <v>6</v>
      </c>
    </row>
    <row r="17">
      <c r="B17" s="8" t="inlineStr">
        <is>
          <t>CBD Core / All-Day</t>
        </is>
      </c>
      <c r="C17" s="87" t="n">
        <v>1</v>
      </c>
      <c r="D17" s="38" t="inlineStr">
        <is>
          <t>Busy in both directions all day: the baseline.</t>
        </is>
      </c>
      <c r="H17" s="46">
        <f>COUNTIF($C$58:$C$135,B17)</f>
        <v>16</v>
      </c>
      <c r="I17" s="46">
        <f>COUNTIFS($C$58:$C$135,B17,$J$58:$J$135,"Yes")</f>
        <v>13</v>
      </c>
      <c r="J17" s="46">
        <f>COUNTIFS($C$58:$C$135,B17,$U$58:$U$135,"Yes")</f>
        <v>4</v>
      </c>
    </row>
    <row r="18">
      <c r="B18" s="8" t="inlineStr">
        <is>
          <t>Low Activity</t>
        </is>
      </c>
      <c r="C18" s="87" t="n">
        <v>0.8</v>
      </c>
      <c r="D18" s="38" t="inlineStr">
        <is>
          <t>Few people, but the ones there aren't rushing.</t>
        </is>
      </c>
      <c r="H18" s="46">
        <f>COUNTIF($C$58:$C$135,B18)</f>
        <v>6</v>
      </c>
      <c r="I18" s="46">
        <f>COUNTIFS($C$58:$C$135,B18,$J$58:$J$135,"Yes")</f>
        <v>0</v>
      </c>
      <c r="J18" s="46">
        <f>COUNTIFS($C$58:$C$135,B18,$U$58:$U$135,"Yes")</f>
        <v>0</v>
      </c>
    </row>
    <row r="19">
      <c r="B19" s="8" t="inlineStr">
        <is>
          <t>Office / Weekday Core</t>
        </is>
      </c>
      <c r="C19" s="87" t="n">
        <v>0.7</v>
      </c>
      <c r="D19" s="38" t="inlineStr">
        <is>
          <t>Lunch-hour trade, quiet evenings and weekends.</t>
        </is>
      </c>
      <c r="H19" s="46">
        <f>COUNTIF($C$58:$C$135,B19)</f>
        <v>9</v>
      </c>
      <c r="I19" s="46">
        <f>COUNTIFS($C$58:$C$135,B19,$J$58:$J$135,"Yes")</f>
        <v>8</v>
      </c>
      <c r="J19" s="46">
        <f>COUNTIFS($C$58:$C$135,B19,$U$58:$U$135,"Yes")</f>
        <v>2</v>
      </c>
    </row>
    <row r="20">
      <c r="B20" s="8" t="inlineStr">
        <is>
          <t>Transit Spine</t>
        </is>
      </c>
      <c r="C20" s="87" t="n">
        <v>0.6</v>
      </c>
      <c r="D20" s="38" t="inlineStr">
        <is>
          <t>Heading to a train or tram, one way at the peaks.</t>
        </is>
      </c>
      <c r="H20" s="46">
        <f>COUNTIF($C$58:$C$135,B20)</f>
        <v>11</v>
      </c>
      <c r="I20" s="46">
        <f>COUNTIFS($C$58:$C$135,B20,$J$58:$J$135,"Yes")</f>
        <v>8</v>
      </c>
      <c r="J20" s="46">
        <f>COUNTIFS($C$58:$C$135,B20,$U$58:$U$135,"Yes")</f>
        <v>6</v>
      </c>
    </row>
    <row r="21">
      <c r="B21" s="8" t="inlineStr">
        <is>
          <t>Commuter Corridor</t>
        </is>
      </c>
      <c r="C21" s="87" t="n">
        <v>0.5</v>
      </c>
      <c r="D21" s="38" t="inlineStr">
        <is>
          <t>On a schedule: out in the morning, back at night.</t>
        </is>
      </c>
      <c r="H21" s="46">
        <f>COUNTIF($C$58:$C$135,B21)</f>
        <v>11</v>
      </c>
      <c r="I21" s="46">
        <f>COUNTIFS($C$58:$C$135,B21,$J$58:$J$135,"Yes")</f>
        <v>7</v>
      </c>
      <c r="J21" s="46">
        <f>COUNTIFS($C$58:$C$135,B21,$U$58:$U$135,"Yes")</f>
        <v>1</v>
      </c>
    </row>
    <row r="22">
      <c r="B22" s="38" t="inlineStr">
        <is>
          <t>1.00 = the capture you set on the Control Panel. The dashboard test (and Tableau) uses one flat rate for every street.</t>
        </is>
      </c>
    </row>
    <row r="24" ht="20" customHeight="1">
      <c r="B24" s="4" t="inlineStr">
        <is>
          <t>Send to Tableau: the dashboard's sliders that match this workbook</t>
        </is>
      </c>
      <c r="C24" s="5" t="n"/>
      <c r="D24" s="5" t="n"/>
      <c r="E24" s="5" t="n"/>
      <c r="F24" s="5" t="n"/>
      <c r="G24" s="5" t="n"/>
      <c r="H24" s="5" t="n"/>
      <c r="I24" s="5" t="n"/>
      <c r="J24" s="5" t="n"/>
    </row>
    <row r="25" ht="18" customHeight="1">
      <c r="B25" s="10" t="inlineStr">
        <is>
          <t>Tableau parameter</t>
        </is>
      </c>
      <c r="C25" s="11" t="inlineStr">
        <is>
          <t>This workbook</t>
        </is>
      </c>
      <c r="D25" s="11" t="inlineStr">
        <is>
          <t>Type into Tableau</t>
        </is>
      </c>
      <c r="E25" s="11" t="inlineStr">
        <is>
          <t>On Tableau now</t>
        </is>
      </c>
      <c r="F25" s="11" t="inlineStr">
        <is>
          <t>Note</t>
        </is>
      </c>
    </row>
    <row r="26">
      <c r="B26" s="8" t="inlineStr">
        <is>
          <t>Build Cost SPLUS</t>
        </is>
      </c>
      <c r="C26" s="37">
        <f>Pilot_SPLUS</f>
        <v>1416330</v>
      </c>
      <c r="D26" s="67">
        <f>ROUND(C26/50000,0)*50000</f>
        <v>1400000</v>
      </c>
      <c r="E26" s="54" t="n">
        <v>1400000</v>
      </c>
      <c r="F26" s="38" t="inlineStr">
        <is>
          <t>The slider moves in $50,000 steps.</t>
        </is>
      </c>
    </row>
    <row r="27">
      <c r="B27" s="8" t="inlineStr">
        <is>
          <t>Build Cost S</t>
        </is>
      </c>
      <c r="C27" s="37">
        <f>Pilot_S</f>
        <v>799625</v>
      </c>
      <c r="D27" s="67">
        <f>ROUND(C27/50000,0)*50000</f>
        <v>800000</v>
      </c>
      <c r="E27" s="54" t="n">
        <v>800000</v>
      </c>
      <c r="F27" s="38" t="inlineStr"/>
    </row>
    <row r="28">
      <c r="B28" s="8" t="inlineStr">
        <is>
          <t>Build Cost D</t>
        </is>
      </c>
      <c r="C28" s="37">
        <f>Pilot_D</f>
        <v>453040</v>
      </c>
      <c r="D28" s="67">
        <f>ROUND(C28/50000,0)*50000</f>
        <v>450000</v>
      </c>
      <c r="E28" s="54" t="n">
        <v>450000</v>
      </c>
      <c r="F28" s="38" t="inlineStr"/>
    </row>
    <row r="29">
      <c r="B29" s="8" t="inlineStr">
        <is>
          <t>Average Ticket</t>
        </is>
      </c>
      <c r="C29" s="37">
        <f>Ticket</f>
        <v>80</v>
      </c>
      <c r="D29" s="67">
        <f>C29</f>
        <v>80</v>
      </c>
      <c r="E29" s="54" t="n">
        <v>80</v>
      </c>
      <c r="F29" s="38" t="inlineStr"/>
    </row>
    <row r="30">
      <c r="B30" s="8" t="inlineStr">
        <is>
          <t>Conversion Rate</t>
        </is>
      </c>
      <c r="C30" s="43">
        <f>Conversion</f>
        <v>0.2</v>
      </c>
      <c r="D30" s="83">
        <f>C30</f>
        <v>0.2</v>
      </c>
      <c r="E30" s="42" t="n">
        <v>0.2</v>
      </c>
      <c r="F30" s="38" t="inlineStr"/>
    </row>
    <row r="31">
      <c r="B31" s="8" t="inlineStr">
        <is>
          <t>Profit Margin</t>
        </is>
      </c>
      <c r="C31" s="43">
        <f>DashMargin</f>
        <v>0.25</v>
      </c>
      <c r="D31" s="83">
        <f>C31</f>
        <v>0.25</v>
      </c>
      <c r="E31" s="42" t="n">
        <v>0.25</v>
      </c>
      <c r="F31" s="38" t="inlineStr">
        <is>
          <t>The dashboard's flat margin.</t>
        </is>
      </c>
    </row>
    <row r="32">
      <c r="B32" s="8" t="inlineStr">
        <is>
          <t>Payback Years</t>
        </is>
      </c>
      <c r="C32" s="44">
        <f>PaybackYears</f>
        <v>3</v>
      </c>
      <c r="D32" s="47">
        <f>C32</f>
        <v>3</v>
      </c>
      <c r="E32" s="36" t="n">
        <v>3</v>
      </c>
      <c r="F32" s="38" t="inlineStr"/>
    </row>
    <row r="33">
      <c r="B33" s="8" t="inlineStr">
        <is>
          <t>Achievable Capture</t>
        </is>
      </c>
      <c r="C33" s="60">
        <f>Capture</f>
        <v>0.03</v>
      </c>
      <c r="D33" s="84">
        <f>C33</f>
        <v>0.03</v>
      </c>
      <c r="E33" s="57" t="n">
        <v>0.03</v>
      </c>
      <c r="F33" s="38" t="inlineStr"/>
    </row>
    <row r="34">
      <c r="B34" s="8" t="inlineStr">
        <is>
          <t>Flagship Volume Bar</t>
        </is>
      </c>
      <c r="C34" s="44">
        <f>FlagshipBar</f>
        <v>12000</v>
      </c>
      <c r="D34" s="47">
        <f>C34</f>
        <v>12000</v>
      </c>
      <c r="E34" s="36" t="n">
        <v>12000</v>
      </c>
      <c r="F34" s="38" t="inlineStr"/>
    </row>
    <row r="35">
      <c r="B35" s="8" t="inlineStr">
        <is>
          <t>Standard Volume Bar</t>
        </is>
      </c>
      <c r="C35" s="44">
        <f>StandardBar</f>
        <v>5000</v>
      </c>
      <c r="D35" s="47">
        <f>C35</f>
        <v>5000</v>
      </c>
      <c r="E35" s="36" t="n">
        <v>5000</v>
      </c>
      <c r="F35" s="38" t="inlineStr"/>
    </row>
    <row r="36">
      <c r="B36" s="8" t="inlineStr">
        <is>
          <t>Streets that pay back on the dashboard test: Flagship</t>
        </is>
      </c>
      <c r="C36" s="46">
        <f>D8</f>
        <v>14</v>
      </c>
      <c r="D36" s="46">
        <f>COUNTIFS($G$58:$G$135,"SPLUS",$E$58:$E$135,"&gt;="&amp;$D26/($D$32*$D$29*$D$30*$D$31*$D$33))</f>
        <v>14</v>
      </c>
      <c r="E36" s="46">
        <f>COUNTIFS($F$58:$F$135,"SPLUS",$E$58:$E$135,"&gt;="&amp;$E26/($E$32*$E$29*$E$30*$E$31*$E$33))</f>
        <v>14</v>
      </c>
      <c r="F36" s="38" t="inlineStr">
        <is>
          <t>Here: this workbook now. Typed: the values in column D. Now: what the live dashboard shows.</t>
        </is>
      </c>
    </row>
    <row r="37">
      <c r="B37" s="8" t="inlineStr">
        <is>
          <t>Streets that pay back on the dashboard test: Standard</t>
        </is>
      </c>
      <c r="C37" s="46">
        <f>E8</f>
        <v>29</v>
      </c>
      <c r="D37" s="46">
        <f>COUNTIFS($G$58:$G$135,"S",$E$58:$E$135,"&gt;="&amp;$D27/($D$32*$D$29*$D$30*$D$31*$D$33))</f>
        <v>29</v>
      </c>
      <c r="E37" s="46">
        <f>COUNTIFS($F$58:$F$135,"S",$E$58:$E$135,"&gt;="&amp;$E27/($E$32*$E$29*$E$30*$E$31*$E$33))</f>
        <v>29</v>
      </c>
    </row>
    <row r="38">
      <c r="B38" s="8" t="inlineStr">
        <is>
          <t>Streets that pay back on the dashboard test: Small</t>
        </is>
      </c>
      <c r="C38" s="46">
        <f>F8</f>
        <v>16</v>
      </c>
      <c r="D38" s="46">
        <f>COUNTIFS($G$58:$G$135,"D",$E$58:$E$135,"&gt;="&amp;$D28/($D$32*$D$29*$D$30*$D$31*$D$33))</f>
        <v>16</v>
      </c>
      <c r="E38" s="46">
        <f>COUNTIFS($F$58:$F$135,"D",$E$58:$E$135,"&gt;="&amp;$E28/($E$32*$E$29*$E$30*$E$31*$E$33))</f>
        <v>16</v>
      </c>
    </row>
    <row r="39">
      <c r="B39" s="34" t="inlineStr">
        <is>
          <t>Streets that pay back on the dashboard test: total</t>
        </is>
      </c>
      <c r="C39" s="47">
        <f>SUM(C36:C38)</f>
        <v>59</v>
      </c>
      <c r="D39" s="47">
        <f>SUM(D36:D38)</f>
        <v>59</v>
      </c>
      <c r="E39" s="47">
        <f>SUM(E36:E38)</f>
        <v>59</v>
      </c>
    </row>
    <row r="40">
      <c r="B40" s="34" t="inlineStr">
        <is>
          <t>Same result as the live dashboard?</t>
        </is>
      </c>
      <c r="C40" s="100" t="str">
        <f>IF(AND(C36=E36,C37=E37,C38=E38,FlagshipBar=E34,StandardBar=E35),IF(AND(D26=E26,D27=E27,D28=E28,D29=E29,D30=E30,D31=E31,D32=E32,D33=E33),"Yes: "&amp;C39&amp;" of 78 streets, same as the live dashboard","Same streets ("&amp;C39&amp;" of 78) with different settings: see Melbourne"),"No: "&amp;C39&amp;" streets here, "&amp;E39&amp;" on the live dashboard")</f>
        <v>Yes: 59 of 78 streets, same as the live dashboard</v>
      </c>
    </row>
    <row r="42" ht="20" customHeight="1">
      <c r="B42" s="4" t="inlineStr">
        <is>
          <t>Per size working</t>
        </is>
      </c>
      <c r="C42" s="5" t="n"/>
      <c r="D42" s="5" t="n"/>
      <c r="E42" s="5" t="n"/>
      <c r="F42" s="5" t="n"/>
      <c r="G42" s="5" t="n"/>
      <c r="H42" s="5" t="n"/>
      <c r="I42" s="5" t="n"/>
      <c r="J42" s="5" t="n"/>
    </row>
    <row r="43">
      <c r="B43" s="10" t="inlineStr"/>
      <c r="C43" s="11" t="inlineStr"/>
      <c r="D43" s="28" t="inlineStr">
        <is>
          <t>SPLUS</t>
        </is>
      </c>
      <c r="E43" s="29" t="inlineStr">
        <is>
          <t>S</t>
        </is>
      </c>
      <c r="F43" s="30" t="inlineStr">
        <is>
          <t>D</t>
        </is>
      </c>
    </row>
    <row r="44">
      <c r="B44" s="8" t="inlineStr">
        <is>
          <t>Store build, first store</t>
        </is>
      </c>
      <c r="D44" s="37">
        <f>Pilot_SPLUS</f>
        <v>1416330</v>
      </c>
      <c r="E44" s="37">
        <f>Pilot_S</f>
        <v>799625</v>
      </c>
      <c r="F44" s="37">
        <f>Pilot_D</f>
        <v>453040</v>
      </c>
    </row>
    <row r="45">
      <c r="B45" s="8" t="inlineStr">
        <is>
          <t>Store build at scale (your rollout's average)</t>
        </is>
      </c>
      <c r="D45" s="37">
        <f>INDEX(AtScale,1)</f>
        <v>1231151.26415049</v>
      </c>
      <c r="E45" s="37">
        <f>INDEX(AtScale,2)</f>
        <v>682952.585715908</v>
      </c>
      <c r="F45" s="37">
        <f>INDEX(AtScale,3)</f>
        <v>388970.217516837</v>
      </c>
    </row>
    <row r="46">
      <c r="B46" s="8" t="inlineStr">
        <is>
          <t>Dashboard test: fewest passers-by a year that repay the first-store build</t>
        </is>
      </c>
      <c r="D46" s="46">
        <f>D44/(PaybackYears*Ticket*Conversion*DashMargin*Capture)</f>
        <v>3934250</v>
      </c>
      <c r="E46" s="46">
        <f>E44/(PaybackYears*Ticket*Conversion*DashMargin*Capture)</f>
        <v>2221180.55555556</v>
      </c>
      <c r="F46" s="46">
        <f>F44/(PaybackYears*Ticket*Conversion*DashMargin*Capture)</f>
        <v>1258444.44444444</v>
      </c>
    </row>
    <row r="47">
      <c r="B47" s="8" t="inlineStr">
        <is>
          <t>Running costs other than rent (team, tech, energy, licences)</t>
        </is>
      </c>
      <c r="D47" s="37">
        <f>INDEX(RunOther,1)+INDEX(LicPlan,1)</f>
        <v>511118.746666667</v>
      </c>
      <c r="E47" s="37">
        <f>INDEX(RunOther,2)+INDEX(LicPlan,2)</f>
        <v>313135.573333333</v>
      </c>
      <c r="F47" s="37">
        <f>INDEX(RunOther,3)+INDEX(LicPlan,3)</f>
        <v>206088.429333333</v>
      </c>
    </row>
    <row r="48">
      <c r="B48" s="8" t="inlineStr">
        <is>
          <t>Most a store can sell (capacity)</t>
        </is>
      </c>
      <c r="D48" s="39">
        <f>INDEX(CapacityPsf,1)*Area_SPLUS</f>
        <v>5440000</v>
      </c>
      <c r="E48" s="39">
        <f>INDEX(CapacityPsf,2)*Area_S</f>
        <v>2310000</v>
      </c>
      <c r="F48" s="39">
        <f>INDEX(CapacityPsf,3)*Area_D</f>
        <v>1080000</v>
      </c>
    </row>
    <row r="49">
      <c r="B49" s="8" t="inlineStr">
        <is>
          <t>Streets that pass the mix test</t>
        </is>
      </c>
      <c r="D49" s="46">
        <f>COUNTIFS($G$58:$G$135,"SPLUS",$X$58:$X$135,1)</f>
        <v>14</v>
      </c>
      <c r="E49" s="46">
        <f>COUNTIFS($G$58:$G$135,"S",$X$58:$X$135,1)</f>
        <v>29</v>
      </c>
      <c r="F49" s="46">
        <f>COUNTIFS($G$58:$G$135,"D",$X$58:$X$135,1)</f>
        <v>16</v>
      </c>
    </row>
    <row r="50">
      <c r="B50" s="8" t="inlineStr">
        <is>
          <t>Streets of this size</t>
        </is>
      </c>
      <c r="D50" s="46">
        <f>COUNTIF($G$58:$G$135,"SPLUS")</f>
        <v>14</v>
      </c>
      <c r="E50" s="46">
        <f>COUNTIF($G$58:$G$135,"S")</f>
        <v>34</v>
      </c>
      <c r="F50" s="46">
        <f>COUNTIF($G$58:$G$135,"D")</f>
        <v>30</v>
      </c>
    </row>
    <row r="51">
      <c r="B51" s="8" t="inlineStr">
        <is>
          <t>Streets used to place stores (paying, or all if none pay)</t>
        </is>
      </c>
      <c r="D51" s="46">
        <f>IF(D49&gt;0,D49,D50)</f>
        <v>14</v>
      </c>
      <c r="E51" s="46">
        <f>IF(E49&gt;0,E49,E50)</f>
        <v>29</v>
      </c>
      <c r="F51" s="46">
        <f>IF(F49&gt;0,F49,F50)</f>
        <v>16</v>
      </c>
    </row>
    <row r="52">
      <c r="B52" s="8" t="inlineStr">
        <is>
          <t>Typical street: passers-by per year (median of those)</t>
        </is>
      </c>
      <c r="D52" s="46">
        <f>IF(D51=0,Fref,IF(MOD(D51,2)=1,INDEX($E$58:$E$135,MATCH("SPLUS|"&amp;((D51+1)/2),$AA$58:$AA$135,0)),(INDEX($E$58:$E$135,MATCH("SPLUS|"&amp;(D51/2),$AA$58:$AA$135,0))+INDEX($E$58:$E$135,MATCH("SPLUS|"&amp;(D51/2+1),$AA$58:$AA$135,0)))/2))</f>
        <v>5918084.5</v>
      </c>
      <c r="E52" s="46">
        <f>IF(E51=0,Fref,IF(MOD(E51,2)=1,INDEX($E$58:$E$135,MATCH("S|"&amp;((E51+1)/2),$AA$58:$AA$135,0)),(INDEX($E$58:$E$135,MATCH("S|"&amp;(E51/2),$AA$58:$AA$135,0))+INDEX($E$58:$E$135,MATCH("S|"&amp;(E51/2+1),$AA$58:$AA$135,0)))/2))</f>
        <v>3804040</v>
      </c>
      <c r="F52" s="46">
        <f>IF(F51=0,Fref,IF(MOD(F51,2)=1,INDEX($E$58:$E$135,MATCH("D|"&amp;((F51+1)/2),$AA$58:$AA$135,0)),(INDEX($E$58:$E$135,MATCH("D|"&amp;(F51/2),$AA$58:$AA$135,0))+INDEX($E$58:$E$135,MATCH("D|"&amp;(F51/2+1),$AA$58:$AA$135,0)))/2))</f>
        <v>1667802.5</v>
      </c>
    </row>
    <row r="53">
      <c r="B53" s="8" t="inlineStr">
        <is>
          <t>Typical street: capture factor (average of those)</t>
        </is>
      </c>
      <c r="D53" s="86">
        <f>IF(D51=0,1,AVERAGEIFS($N$58:$N$135,$G$58:$G$135,"SPLUS",$Z$58:$Z$135,"&lt;="&amp;D51))</f>
        <v>1.1</v>
      </c>
      <c r="E53" s="86">
        <f>IF(E51=0,1,AVERAGEIFS($N$58:$N$135,$G$58:$G$135,"S",$Z$58:$Z$135,"&lt;="&amp;E51))</f>
        <v>0.810344827586207</v>
      </c>
      <c r="F53" s="86">
        <f>IF(F51=0,1,AVERAGEIFS($N$58:$N$135,$G$58:$G$135,"D",$Z$58:$Z$135,"&lt;="&amp;F51))</f>
        <v>0.93125</v>
      </c>
    </row>
    <row r="55" ht="20" customHeight="1">
      <c r="A55" s="4" t="inlineStr">
        <is>
          <t>The 78 streets (busiest first)</t>
        </is>
      </c>
      <c r="B55" s="5" t="n"/>
      <c r="C55" s="5" t="n"/>
      <c r="D55" s="5" t="n"/>
      <c r="E55" s="5" t="n"/>
      <c r="F55" s="5" t="n"/>
      <c r="G55" s="5" t="n"/>
      <c r="H55" s="5" t="n"/>
      <c r="I55" s="5" t="n"/>
      <c r="J55" s="5" t="n"/>
      <c r="K55" s="5" t="n"/>
      <c r="L55" s="5" t="n"/>
      <c r="M55" s="5" t="n"/>
      <c r="N55" s="5" t="n"/>
      <c r="O55" s="5" t="n"/>
      <c r="P55" s="5" t="n"/>
      <c r="Q55" s="5" t="n"/>
      <c r="R55" s="5" t="n"/>
      <c r="S55" s="5" t="n"/>
      <c r="T55" s="5" t="n"/>
      <c r="U55" s="5" t="n"/>
      <c r="V55" s="5" t="n"/>
      <c r="W55" s="5" t="n"/>
      <c r="X55" s="5" t="n"/>
      <c r="Y55" s="5" t="n"/>
      <c r="Z55" s="5" t="n"/>
      <c r="AA55" s="5" t="n"/>
    </row>
    <row r="56">
      <c r="A56" s="101" t="inlineStr">
        <is>
          <t>Street</t>
        </is>
      </c>
      <c r="B56" s="71" t="n"/>
      <c r="C56" s="71" t="n"/>
      <c r="D56" s="71" t="n"/>
      <c r="E56" s="71" t="n"/>
      <c r="F56" s="71" t="n"/>
      <c r="G56" s="71" t="n"/>
      <c r="H56" s="101" t="inlineStr">
        <is>
          <t>A · Dashboard test</t>
        </is>
      </c>
      <c r="I56" s="71" t="n"/>
      <c r="J56" s="71" t="n"/>
      <c r="K56" s="101" t="inlineStr">
        <is>
          <t>B · Dashboard, at scale</t>
        </is>
      </c>
      <c r="L56" s="71" t="n"/>
      <c r="M56" s="71" t="n"/>
      <c r="N56" s="101" t="inlineStr">
        <is>
          <t>C · Full store P&amp;L</t>
        </is>
      </c>
      <c r="O56" s="71" t="n"/>
      <c r="P56" s="71" t="n"/>
      <c r="Q56" s="71" t="n"/>
      <c r="R56" s="71" t="n"/>
      <c r="S56" s="71" t="n"/>
      <c r="T56" s="71" t="n"/>
      <c r="U56" s="71" t="n"/>
      <c r="V56" s="101" t="inlineStr">
        <is>
          <t>D · Full P&amp;L, at scale</t>
        </is>
      </c>
      <c r="W56" s="71" t="n"/>
      <c r="X56" s="101" t="inlineStr">
        <is>
          <t>Placing stores</t>
        </is>
      </c>
      <c r="Y56" s="71" t="n"/>
      <c r="Z56" s="71" t="n"/>
      <c r="AA56" s="71" t="n"/>
    </row>
    <row r="57" ht="30" customHeight="1">
      <c r="A57" s="10" t="inlineStr">
        <is>
          <t>Sensor</t>
        </is>
      </c>
      <c r="B57" s="11" t="inlineStr">
        <is>
          <t>Street</t>
        </is>
      </c>
      <c r="C57" s="11" t="inlineStr">
        <is>
          <t>Kind of street</t>
        </is>
      </c>
      <c r="D57" s="11" t="inlineStr">
        <is>
          <t>Weekday average</t>
        </is>
      </c>
      <c r="E57" s="11" t="inlineStr">
        <is>
          <t>Passers-by per year</t>
        </is>
      </c>
      <c r="F57" s="11" t="inlineStr">
        <is>
          <t>Size on the dashboard</t>
        </is>
      </c>
      <c r="G57" s="11" t="inlineStr">
        <is>
          <t>Size now</t>
        </is>
      </c>
      <c r="H57" s="11" t="inlineStr">
        <is>
          <t>Store build</t>
        </is>
      </c>
      <c r="I57" s="11" t="inlineStr">
        <is>
          <t>Capture needed</t>
        </is>
      </c>
      <c r="J57" s="11" t="inlineStr">
        <is>
          <t>Pays back?</t>
        </is>
      </c>
      <c r="K57" s="11" t="inlineStr">
        <is>
          <t>Build at scale</t>
        </is>
      </c>
      <c r="L57" s="11" t="inlineStr">
        <is>
          <t>Capture needed</t>
        </is>
      </c>
      <c r="M57" s="11" t="inlineStr">
        <is>
          <t>Pays back?</t>
        </is>
      </c>
      <c r="N57" s="11" t="inlineStr">
        <is>
          <t>Street factor</t>
        </is>
      </c>
      <c r="O57" s="11" t="inlineStr">
        <is>
          <t>Capture it can win</t>
        </is>
      </c>
      <c r="P57" s="11" t="inlineStr">
        <is>
          <t>Sales it can give</t>
        </is>
      </c>
      <c r="Q57" s="11" t="inlineStr">
        <is>
          <t>Rent</t>
        </is>
      </c>
      <c r="R57" s="11" t="inlineStr">
        <is>
          <t>Running costs</t>
        </is>
      </c>
      <c r="S57" s="11" t="inlineStr">
        <is>
          <t>Sales needed</t>
        </is>
      </c>
      <c r="T57" s="11" t="inlineStr">
        <is>
          <t>Capture needed</t>
        </is>
      </c>
      <c r="U57" s="11" t="inlineStr">
        <is>
          <t>Pays back?</t>
        </is>
      </c>
      <c r="V57" s="11" t="inlineStr">
        <is>
          <t>Sales needed</t>
        </is>
      </c>
      <c r="W57" s="11" t="inlineStr">
        <is>
          <t>Pays back?</t>
        </is>
      </c>
      <c r="X57" s="11" t="inlineStr">
        <is>
          <t>Used to rank</t>
        </is>
      </c>
      <c r="Y57" s="11" t="inlineStr">
        <is>
          <t>Score</t>
        </is>
      </c>
      <c r="Z57" s="11" t="inlineStr">
        <is>
          <t>Rank in size</t>
        </is>
      </c>
      <c r="AA57" s="11" t="inlineStr">
        <is>
          <t>Key</t>
        </is>
      </c>
    </row>
    <row r="58">
      <c r="A58" s="102" t="n">
        <v>4</v>
      </c>
      <c r="B58" s="8" t="inlineStr">
        <is>
          <t>Town Hall (West)</t>
        </is>
      </c>
      <c r="C58" s="8" t="inlineStr">
        <is>
          <t>Destination Retail</t>
        </is>
      </c>
      <c r="D58" s="103" t="n">
        <v>35110.4131</v>
      </c>
      <c r="E58" s="103" t="n">
        <v>13342665</v>
      </c>
      <c r="F58" s="104" t="inlineStr">
        <is>
          <t>SPLUS</t>
        </is>
      </c>
      <c r="G58" s="14" t="str">
        <f>IF(D58&gt;=FlagshipBar,IF(OR(C58="Destination Retail",C58="Evening / Entertainment",C58="CBD Core / All-Day"),"SPLUS",IF(C58="Low Activity","D","S")),IF(D58&gt;=StandardBar,IF(OR(C58="Office / Weekday Core",C58="Low Activity"),"D","S"),"D"))</f>
        <v>SPLUS</v>
      </c>
      <c r="H58" s="39">
        <f>INDEX(PilotBuild,MATCH(G58,TierCodes,0))</f>
        <v>1416330</v>
      </c>
      <c r="I58" s="41">
        <f>H58/(PaybackYears*Ticket*Conversion*DashMargin)/E58</f>
        <v>0.00884587149568696</v>
      </c>
      <c r="J58" s="75" t="str">
        <f>IF(I58&lt;=Capture,"Yes","No")</f>
        <v>Yes</v>
      </c>
      <c r="K58" s="39">
        <f>INDEX(AtScale,MATCH(G58,TierCodes,0))</f>
        <v>1231151.26415049</v>
      </c>
      <c r="L58" s="41">
        <f>K58/(PaybackYears*Ticket*Conversion*DashMargin)/E58</f>
        <v>0.00768931384241511</v>
      </c>
      <c r="M58" s="75" t="str">
        <f>IF(L58&lt;=Capture,"Yes","No")</f>
        <v>Yes</v>
      </c>
      <c r="N58" s="86">
        <f>INDEX(ArchFactor,MATCH(C58,ArchNames,0))</f>
        <v>1.2</v>
      </c>
      <c r="O58" s="41">
        <f>Capture*N58</f>
        <v>0.036</v>
      </c>
      <c r="P58" s="39">
        <f>MIN(E58*O58*Conversion*Ticket,INDEX(CapacityPsf,MATCH(G58,TierCodes,0))*INDEX(Area,MATCH(G58,TierCodes,0)))</f>
        <v>5440000</v>
      </c>
      <c r="Q58" s="39">
        <f>INDEX(Area,MATCH(G58,TierCodes,0))*RentPsf*(E58/Fref)^RentElasticity</f>
        <v>655957.474519942</v>
      </c>
      <c r="R58" s="39">
        <f>Q58+INDEX(RunOther,MATCH(G58,TierCodes,0))+INDEX(LicPlan,MATCH(G58,TierCodes,0))</f>
        <v>1167076.22118661</v>
      </c>
      <c r="S58" s="39">
        <f>(H58+R58*PaybackYears)/(ContribMargin*SumRamp)</f>
        <v>3475060.88867206</v>
      </c>
      <c r="T58" s="41">
        <f>S58/(E58*Conversion*Ticket)</f>
        <v>0.0162779553816275</v>
      </c>
      <c r="U58" s="75" t="str">
        <f>IF(S58&lt;=P58,"Yes","No")</f>
        <v>Yes</v>
      </c>
      <c r="V58" s="39">
        <f>(K58+R58*PaybackYears)/(ContribMargin*SumRamp)</f>
        <v>3344201.7721082</v>
      </c>
      <c r="W58" s="75" t="str">
        <f>IF(V58&lt;=P58,"Yes","No")</f>
        <v>Yes</v>
      </c>
      <c r="X58" s="82">
        <f>IF(MixSource="Melbourne: full store P&amp;L",IF(U58="Yes",1,0),IF(J58="Yes",1,0))</f>
        <v>1</v>
      </c>
      <c r="Y58" s="105">
        <f>X58*1000000000+E58</f>
        <v>1013342665</v>
      </c>
      <c r="Z58" s="82">
        <f>1+COUNTIFS($G$58:$G$135,G58,$Y$58:$Y$135,"&gt;"&amp;Y58)+COUNTIFS($G$58:$G$135,G58,$Y$58:$Y$135,Y58,$A$58:$A$135,"&lt;"&amp;A58)</f>
        <v>1</v>
      </c>
      <c r="AA58" s="69" t="str">
        <f>G58&amp;"|"&amp;Z58</f>
        <v>SPLUS|1</v>
      </c>
    </row>
    <row r="59">
      <c r="A59" s="102" t="n">
        <v>41</v>
      </c>
      <c r="B59" s="8" t="inlineStr">
        <is>
          <t>Flinders La-Swanston St (West)</t>
        </is>
      </c>
      <c r="C59" s="8" t="inlineStr">
        <is>
          <t>Transit Spine</t>
        </is>
      </c>
      <c r="D59" s="103" t="n">
        <v>35488.4022</v>
      </c>
      <c r="E59" s="103" t="n">
        <v>13136999</v>
      </c>
      <c r="F59" s="104" t="inlineStr">
        <is>
          <t>S</t>
        </is>
      </c>
      <c r="G59" s="14" t="str">
        <f>IF(D59&gt;=FlagshipBar,IF(OR(C59="Destination Retail",C59="Evening / Entertainment",C59="CBD Core / All-Day"),"SPLUS",IF(C59="Low Activity","D","S")),IF(D59&gt;=StandardBar,IF(OR(C59="Office / Weekday Core",C59="Low Activity"),"D","S"),"D"))</f>
        <v>S</v>
      </c>
      <c r="H59" s="39">
        <f>INDEX(PilotBuild,MATCH(G59,TierCodes,0))</f>
        <v>799625</v>
      </c>
      <c r="I59" s="41">
        <f>H59/(PaybackYears*Ticket*Conversion*DashMargin)/E59</f>
        <v>0.00507234693910433</v>
      </c>
      <c r="J59" s="75" t="str">
        <f>IF(I59&lt;=Capture,"Yes","No")</f>
        <v>Yes</v>
      </c>
      <c r="K59" s="39">
        <f>INDEX(AtScale,MATCH(G59,TierCodes,0))</f>
        <v>682952.585715908</v>
      </c>
      <c r="L59" s="41">
        <f>K59/(PaybackYears*Ticket*Conversion*DashMargin)/E59</f>
        <v>0.00433224631259587</v>
      </c>
      <c r="M59" s="75" t="str">
        <f>IF(L59&lt;=Capture,"Yes","No")</f>
        <v>Yes</v>
      </c>
      <c r="N59" s="86">
        <f>INDEX(ArchFactor,MATCH(C59,ArchNames,0))</f>
        <v>0.6</v>
      </c>
      <c r="O59" s="41">
        <f>Capture*N59</f>
        <v>0.018</v>
      </c>
      <c r="P59" s="39">
        <f>MIN(E59*O59*Conversion*Ticket,INDEX(CapacityPsf,MATCH(G59,TierCodes,0))*INDEX(Area,MATCH(G59,TierCodes,0)))</f>
        <v>2310000</v>
      </c>
      <c r="Q59" s="39">
        <f>INDEX(Area,MATCH(G59,TierCodes,0))*RentPsf*(E59/Fref)^RentElasticity</f>
        <v>315624.119493356</v>
      </c>
      <c r="R59" s="39">
        <f>Q59+INDEX(RunOther,MATCH(G59,TierCodes,0))+INDEX(LicPlan,MATCH(G59,TierCodes,0))</f>
        <v>628759.692826689</v>
      </c>
      <c r="S59" s="39">
        <f>(H59+R59*PaybackYears)/(ContribMargin*SumRamp)</f>
        <v>1898031.29000075</v>
      </c>
      <c r="T59" s="41">
        <f>S59/(E59*Conversion*Ticket)</f>
        <v>0.00902998893621345</v>
      </c>
      <c r="U59" s="75" t="str">
        <f>IF(S59&lt;=P59,"Yes","No")</f>
        <v>Yes</v>
      </c>
      <c r="V59" s="39">
        <f>(K59+R59*PaybackYears)/(ContribMargin*SumRamp)</f>
        <v>1815583.11369937</v>
      </c>
      <c r="W59" s="75" t="str">
        <f>IF(V59&lt;=P59,"Yes","No")</f>
        <v>Yes</v>
      </c>
      <c r="X59" s="82">
        <f>IF(MixSource="Melbourne: full store P&amp;L",IF(U59="Yes",1,0),IF(J59="Yes",1,0))</f>
        <v>1</v>
      </c>
      <c r="Y59" s="105">
        <f>X59*1000000000+E59</f>
        <v>1013136999</v>
      </c>
      <c r="Z59" s="82">
        <f>1+COUNTIFS($G$58:$G$135,G59,$Y$58:$Y$135,"&gt;"&amp;Y59)+COUNTIFS($G$58:$G$135,G59,$Y$58:$Y$135,Y59,$A$58:$A$135,"&lt;"&amp;A59)</f>
        <v>1</v>
      </c>
      <c r="AA59" s="69" t="str">
        <f>G59&amp;"|"&amp;Z59</f>
        <v>S|1</v>
      </c>
    </row>
    <row r="60">
      <c r="A60" s="102" t="n">
        <v>35</v>
      </c>
      <c r="B60" s="8" t="inlineStr">
        <is>
          <t>Southbank Promenade</t>
        </is>
      </c>
      <c r="C60" s="8" t="inlineStr">
        <is>
          <t>Destination Retail</t>
        </is>
      </c>
      <c r="D60" s="103" t="n">
        <v>30618.9132</v>
      </c>
      <c r="E60" s="103" t="n">
        <v>11551576</v>
      </c>
      <c r="F60" s="104" t="inlineStr">
        <is>
          <t>SPLUS</t>
        </is>
      </c>
      <c r="G60" s="14" t="str">
        <f>IF(D60&gt;=FlagshipBar,IF(OR(C60="Destination Retail",C60="Evening / Entertainment",C60="CBD Core / All-Day"),"SPLUS",IF(C60="Low Activity","D","S")),IF(D60&gt;=StandardBar,IF(OR(C60="Office / Weekday Core",C60="Low Activity"),"D","S"),"D"))</f>
        <v>SPLUS</v>
      </c>
      <c r="H60" s="39">
        <f>INDEX(PilotBuild,MATCH(G60,TierCodes,0))</f>
        <v>1416330</v>
      </c>
      <c r="I60" s="41">
        <f>H60/(PaybackYears*Ticket*Conversion*DashMargin)/E60</f>
        <v>0.0102174369973413</v>
      </c>
      <c r="J60" s="75" t="str">
        <f>IF(I60&lt;=Capture,"Yes","No")</f>
        <v>Yes</v>
      </c>
      <c r="K60" s="39">
        <f>INDEX(AtScale,MATCH(G60,TierCodes,0))</f>
        <v>1231151.26415049</v>
      </c>
      <c r="L60" s="41">
        <f>K60/(PaybackYears*Ticket*Conversion*DashMargin)/E60</f>
        <v>0.00888155336373215</v>
      </c>
      <c r="M60" s="75" t="str">
        <f>IF(L60&lt;=Capture,"Yes","No")</f>
        <v>Yes</v>
      </c>
      <c r="N60" s="86">
        <f>INDEX(ArchFactor,MATCH(C60,ArchNames,0))</f>
        <v>1.2</v>
      </c>
      <c r="O60" s="41">
        <f>Capture*N60</f>
        <v>0.036</v>
      </c>
      <c r="P60" s="39">
        <f>MIN(E60*O60*Conversion*Ticket,INDEX(CapacityPsf,MATCH(G60,TierCodes,0))*INDEX(Area,MATCH(G60,TierCodes,0)))</f>
        <v>5440000</v>
      </c>
      <c r="Q60" s="39">
        <f>INDEX(Area,MATCH(G60,TierCodes,0))*RentPsf*(E60/Fref)^RentElasticity</f>
        <v>605961.3811973</v>
      </c>
      <c r="R60" s="39">
        <f>Q60+INDEX(RunOther,MATCH(G60,TierCodes,0))+INDEX(LicPlan,MATCH(G60,TierCodes,0))</f>
        <v>1117080.12786397</v>
      </c>
      <c r="S60" s="39">
        <f>(H60+R60*PaybackYears)/(ContribMargin*SumRamp)</f>
        <v>3369069.59479323</v>
      </c>
      <c r="T60" s="41">
        <f>S60/(E60*Conversion*Ticket)</f>
        <v>0.0182284088053939</v>
      </c>
      <c r="U60" s="75" t="str">
        <f>IF(S60&lt;=P60,"Yes","No")</f>
        <v>Yes</v>
      </c>
      <c r="V60" s="39">
        <f>(K60+R60*PaybackYears)/(ContribMargin*SumRamp)</f>
        <v>3238210.47822938</v>
      </c>
      <c r="W60" s="75" t="str">
        <f>IF(V60&lt;=P60,"Yes","No")</f>
        <v>Yes</v>
      </c>
      <c r="X60" s="82">
        <f>IF(MixSource="Melbourne: full store P&amp;L",IF(U60="Yes",1,0),IF(J60="Yes",1,0))</f>
        <v>1</v>
      </c>
      <c r="Y60" s="105">
        <f>X60*1000000000+E60</f>
        <v>1011551576</v>
      </c>
      <c r="Z60" s="82">
        <f>1+COUNTIFS($G$58:$G$135,G60,$Y$58:$Y$135,"&gt;"&amp;Y60)+COUNTIFS($G$58:$G$135,G60,$Y$58:$Y$135,Y60,$A$58:$A$135,"&lt;"&amp;A60)</f>
        <v>2</v>
      </c>
      <c r="AA60" s="69" t="str">
        <f>G60&amp;"|"&amp;Z60</f>
        <v>SPLUS|2</v>
      </c>
    </row>
    <row r="61">
      <c r="A61" s="102" t="n">
        <v>66</v>
      </c>
      <c r="B61" s="8" t="inlineStr">
        <is>
          <t>QV2 Apartments, 300 Swanston Street</t>
        </is>
      </c>
      <c r="C61" s="8" t="inlineStr">
        <is>
          <t>CBD Core / All-Day</t>
        </is>
      </c>
      <c r="D61" s="103" t="n">
        <v>28747.1036</v>
      </c>
      <c r="E61" s="103" t="n">
        <v>10696260</v>
      </c>
      <c r="F61" s="104" t="inlineStr">
        <is>
          <t>SPLUS</t>
        </is>
      </c>
      <c r="G61" s="14" t="str">
        <f>IF(D61&gt;=FlagshipBar,IF(OR(C61="Destination Retail",C61="Evening / Entertainment",C61="CBD Core / All-Day"),"SPLUS",IF(C61="Low Activity","D","S")),IF(D61&gt;=StandardBar,IF(OR(C61="Office / Weekday Core",C61="Low Activity"),"D","S"),"D"))</f>
        <v>SPLUS</v>
      </c>
      <c r="H61" s="39">
        <f>INDEX(PilotBuild,MATCH(G61,TierCodes,0))</f>
        <v>1416330</v>
      </c>
      <c r="I61" s="41">
        <f>H61/(PaybackYears*Ticket*Conversion*DashMargin)/E61</f>
        <v>0.0110344643828778</v>
      </c>
      <c r="J61" s="75" t="str">
        <f>IF(I61&lt;=Capture,"Yes","No")</f>
        <v>Yes</v>
      </c>
      <c r="K61" s="39">
        <f>INDEX(AtScale,MATCH(G61,TierCodes,0))</f>
        <v>1231151.26415049</v>
      </c>
      <c r="L61" s="41">
        <f>K61/(PaybackYears*Ticket*Conversion*DashMargin)/E61</f>
        <v>0.00959175811724916</v>
      </c>
      <c r="M61" s="75" t="str">
        <f>IF(L61&lt;=Capture,"Yes","No")</f>
        <v>Yes</v>
      </c>
      <c r="N61" s="86">
        <f>INDEX(ArchFactor,MATCH(C61,ArchNames,0))</f>
        <v>1</v>
      </c>
      <c r="O61" s="41">
        <f>Capture*N61</f>
        <v>0.03</v>
      </c>
      <c r="P61" s="39">
        <f>MIN(E61*O61*Conversion*Ticket,INDEX(CapacityPsf,MATCH(G61,TierCodes,0))*INDEX(Area,MATCH(G61,TierCodes,0)))</f>
        <v>5134204.8</v>
      </c>
      <c r="Q61" s="39">
        <f>INDEX(Area,MATCH(G61,TierCodes,0))*RentPsf*(E61/Fref)^RentElasticity</f>
        <v>580857.816586777</v>
      </c>
      <c r="R61" s="39">
        <f>Q61+INDEX(RunOther,MATCH(G61,TierCodes,0))+INDEX(LicPlan,MATCH(G61,TierCodes,0))</f>
        <v>1091976.56325344</v>
      </c>
      <c r="S61" s="39">
        <f>(H61+R61*PaybackYears)/(ContribMargin*SumRamp)</f>
        <v>3315850.2506963</v>
      </c>
      <c r="T61" s="41">
        <f>S61/(E61*Conversion*Ticket)</f>
        <v>0.0193750563905999</v>
      </c>
      <c r="U61" s="75" t="str">
        <f>IF(S61&lt;=P61,"Yes","No")</f>
        <v>Yes</v>
      </c>
      <c r="V61" s="39">
        <f>(K61+R61*PaybackYears)/(ContribMargin*SumRamp)</f>
        <v>3184991.13413244</v>
      </c>
      <c r="W61" s="75" t="str">
        <f>IF(V61&lt;=P61,"Yes","No")</f>
        <v>Yes</v>
      </c>
      <c r="X61" s="82">
        <f>IF(MixSource="Melbourne: full store P&amp;L",IF(U61="Yes",1,0),IF(J61="Yes",1,0))</f>
        <v>1</v>
      </c>
      <c r="Y61" s="105">
        <f>X61*1000000000+E61</f>
        <v>1010696260</v>
      </c>
      <c r="Z61" s="82">
        <f>1+COUNTIFS($G$58:$G$135,G61,$Y$58:$Y$135,"&gt;"&amp;Y61)+COUNTIFS($G$58:$G$135,G61,$Y$58:$Y$135,Y61,$A$58:$A$135,"&lt;"&amp;A61)</f>
        <v>3</v>
      </c>
      <c r="AA61" s="69" t="str">
        <f>G61&amp;"|"&amp;Z61</f>
        <v>SPLUS|3</v>
      </c>
    </row>
    <row r="62">
      <c r="A62" s="102" t="n">
        <v>84</v>
      </c>
      <c r="B62" s="8" t="inlineStr">
        <is>
          <t>Elizabeth St - Flinders St (East) - New footpath</t>
        </is>
      </c>
      <c r="C62" s="8" t="inlineStr">
        <is>
          <t>Transit Spine</t>
        </is>
      </c>
      <c r="D62" s="103" t="n">
        <v>29323.7766</v>
      </c>
      <c r="E62" s="103" t="n">
        <v>10518309</v>
      </c>
      <c r="F62" s="104" t="inlineStr">
        <is>
          <t>S</t>
        </is>
      </c>
      <c r="G62" s="14" t="str">
        <f>IF(D62&gt;=FlagshipBar,IF(OR(C62="Destination Retail",C62="Evening / Entertainment",C62="CBD Core / All-Day"),"SPLUS",IF(C62="Low Activity","D","S")),IF(D62&gt;=StandardBar,IF(OR(C62="Office / Weekday Core",C62="Low Activity"),"D","S"),"D"))</f>
        <v>S</v>
      </c>
      <c r="H62" s="39">
        <f>INDEX(PilotBuild,MATCH(G62,TierCodes,0))</f>
        <v>799625</v>
      </c>
      <c r="I62" s="41">
        <f>H62/(PaybackYears*Ticket*Conversion*DashMargin)/E62</f>
        <v>0.00633518340891741</v>
      </c>
      <c r="J62" s="75" t="str">
        <f>IF(I62&lt;=Capture,"Yes","No")</f>
        <v>Yes</v>
      </c>
      <c r="K62" s="39">
        <f>INDEX(AtScale,MATCH(G62,TierCodes,0))</f>
        <v>682952.585715908</v>
      </c>
      <c r="L62" s="41">
        <f>K62/(PaybackYears*Ticket*Conversion*DashMargin)/E62</f>
        <v>0.00541082368623375</v>
      </c>
      <c r="M62" s="75" t="str">
        <f>IF(L62&lt;=Capture,"Yes","No")</f>
        <v>Yes</v>
      </c>
      <c r="N62" s="86">
        <f>INDEX(ArchFactor,MATCH(C62,ArchNames,0))</f>
        <v>0.6</v>
      </c>
      <c r="O62" s="41">
        <f>Capture*N62</f>
        <v>0.018</v>
      </c>
      <c r="P62" s="39">
        <f>MIN(E62*O62*Conversion*Ticket,INDEX(CapacityPsf,MATCH(G62,TierCodes,0))*INDEX(Area,MATCH(G62,TierCodes,0)))</f>
        <v>2310000</v>
      </c>
      <c r="Q62" s="39">
        <f>INDEX(Area,MATCH(G62,TierCodes,0))*RentPsf*(E62/Fref)^RentElasticity</f>
        <v>279297.823219257</v>
      </c>
      <c r="R62" s="39">
        <f>Q62+INDEX(RunOther,MATCH(G62,TierCodes,0))+INDEX(LicPlan,MATCH(G62,TierCodes,0))</f>
        <v>592433.39655259</v>
      </c>
      <c r="S62" s="39">
        <f>(H62+R62*PaybackYears)/(ContribMargin*SumRamp)</f>
        <v>1821019.84994542</v>
      </c>
      <c r="T62" s="41">
        <f>S62/(E62*Conversion*Ticket)</f>
        <v>0.0108205359456153</v>
      </c>
      <c r="U62" s="75" t="str">
        <f>IF(S62&lt;=P62,"Yes","No")</f>
        <v>Yes</v>
      </c>
      <c r="V62" s="39">
        <f>(K62+R62*PaybackYears)/(ContribMargin*SumRamp)</f>
        <v>1738571.67364404</v>
      </c>
      <c r="W62" s="75" t="str">
        <f>IF(V62&lt;=P62,"Yes","No")</f>
        <v>Yes</v>
      </c>
      <c r="X62" s="82">
        <f>IF(MixSource="Melbourne: full store P&amp;L",IF(U62="Yes",1,0),IF(J62="Yes",1,0))</f>
        <v>1</v>
      </c>
      <c r="Y62" s="105">
        <f>X62*1000000000+E62</f>
        <v>1010518309</v>
      </c>
      <c r="Z62" s="82">
        <f>1+COUNTIFS($G$58:$G$135,G62,$Y$58:$Y$135,"&gt;"&amp;Y62)+COUNTIFS($G$58:$G$135,G62,$Y$58:$Y$135,Y62,$A$58:$A$135,"&lt;"&amp;A62)</f>
        <v>2</v>
      </c>
      <c r="AA62" s="69" t="str">
        <f>G62&amp;"|"&amp;Z62</f>
        <v>S|2</v>
      </c>
    </row>
    <row r="63">
      <c r="A63" s="102" t="n">
        <v>3</v>
      </c>
      <c r="B63" s="8" t="inlineStr">
        <is>
          <t>Melbourne Central</t>
        </is>
      </c>
      <c r="C63" s="8" t="inlineStr">
        <is>
          <t>Evening / Entertainment</t>
        </is>
      </c>
      <c r="D63" s="103" t="n">
        <v>25912.5489</v>
      </c>
      <c r="E63" s="103" t="n">
        <v>9874966</v>
      </c>
      <c r="F63" s="104" t="inlineStr">
        <is>
          <t>SPLUS</t>
        </is>
      </c>
      <c r="G63" s="14" t="str">
        <f>IF(D63&gt;=FlagshipBar,IF(OR(C63="Destination Retail",C63="Evening / Entertainment",C63="CBD Core / All-Day"),"SPLUS",IF(C63="Low Activity","D","S")),IF(D63&gt;=StandardBar,IF(OR(C63="Office / Weekday Core",C63="Low Activity"),"D","S"),"D"))</f>
        <v>SPLUS</v>
      </c>
      <c r="H63" s="39">
        <f>INDEX(PilotBuild,MATCH(G63,TierCodes,0))</f>
        <v>1416330</v>
      </c>
      <c r="I63" s="41">
        <f>H63/(PaybackYears*Ticket*Conversion*DashMargin)/E63</f>
        <v>0.0119521930505887</v>
      </c>
      <c r="J63" s="75" t="str">
        <f>IF(I63&lt;=Capture,"Yes","No")</f>
        <v>Yes</v>
      </c>
      <c r="K63" s="39">
        <f>INDEX(AtScale,MATCH(G63,TierCodes,0))</f>
        <v>1231151.26415049</v>
      </c>
      <c r="L63" s="41">
        <f>K63/(PaybackYears*Ticket*Conversion*DashMargin)/E63</f>
        <v>0.0103894979161657</v>
      </c>
      <c r="M63" s="75" t="str">
        <f>IF(L63&lt;=Capture,"Yes","No")</f>
        <v>Yes</v>
      </c>
      <c r="N63" s="86">
        <f>INDEX(ArchFactor,MATCH(C63,ArchNames,0))</f>
        <v>1.1</v>
      </c>
      <c r="O63" s="41">
        <f>Capture*N63</f>
        <v>0.033</v>
      </c>
      <c r="P63" s="39">
        <f>MIN(E63*O63*Conversion*Ticket,INDEX(CapacityPsf,MATCH(G63,TierCodes,0))*INDEX(Area,MATCH(G63,TierCodes,0)))</f>
        <v>5213982.048</v>
      </c>
      <c r="Q63" s="39">
        <f>INDEX(Area,MATCH(G63,TierCodes,0))*RentPsf*(E63/Fref)^RentElasticity</f>
        <v>555887.425189005</v>
      </c>
      <c r="R63" s="39">
        <f>Q63+INDEX(RunOther,MATCH(G63,TierCodes,0))+INDEX(LicPlan,MATCH(G63,TierCodes,0))</f>
        <v>1067006.17185567</v>
      </c>
      <c r="S63" s="39">
        <f>(H63+R63*PaybackYears)/(ContribMargin*SumRamp)</f>
        <v>3262913.23268109</v>
      </c>
      <c r="T63" s="41">
        <f>S63/(E63*Conversion*Ticket)</f>
        <v>0.0206514206775566</v>
      </c>
      <c r="U63" s="75" t="str">
        <f>IF(S63&lt;=P63,"Yes","No")</f>
        <v>Yes</v>
      </c>
      <c r="V63" s="39">
        <f>(K63+R63*PaybackYears)/(ContribMargin*SumRamp)</f>
        <v>3132054.11611724</v>
      </c>
      <c r="W63" s="75" t="str">
        <f>IF(V63&lt;=P63,"Yes","No")</f>
        <v>Yes</v>
      </c>
      <c r="X63" s="82">
        <f>IF(MixSource="Melbourne: full store P&amp;L",IF(U63="Yes",1,0),IF(J63="Yes",1,0))</f>
        <v>1</v>
      </c>
      <c r="Y63" s="105">
        <f>X63*1000000000+E63</f>
        <v>1009874966</v>
      </c>
      <c r="Z63" s="82">
        <f>1+COUNTIFS($G$58:$G$135,G63,$Y$58:$Y$135,"&gt;"&amp;Y63)+COUNTIFS($G$58:$G$135,G63,$Y$58:$Y$135,Y63,$A$58:$A$135,"&lt;"&amp;A63)</f>
        <v>4</v>
      </c>
      <c r="AA63" s="69" t="str">
        <f>G63&amp;"|"&amp;Z63</f>
        <v>SPLUS|4</v>
      </c>
    </row>
    <row r="64">
      <c r="A64" s="102" t="n">
        <v>5</v>
      </c>
      <c r="B64" s="8" t="inlineStr">
        <is>
          <t>Princes Bridge</t>
        </is>
      </c>
      <c r="C64" s="8" t="inlineStr">
        <is>
          <t>Destination Retail</t>
        </is>
      </c>
      <c r="D64" s="103" t="n">
        <v>24257.6817</v>
      </c>
      <c r="E64" s="103" t="n">
        <v>9573477</v>
      </c>
      <c r="F64" s="104" t="inlineStr">
        <is>
          <t>SPLUS</t>
        </is>
      </c>
      <c r="G64" s="14" t="str">
        <f>IF(D64&gt;=FlagshipBar,IF(OR(C64="Destination Retail",C64="Evening / Entertainment",C64="CBD Core / All-Day"),"SPLUS",IF(C64="Low Activity","D","S")),IF(D64&gt;=StandardBar,IF(OR(C64="Office / Weekday Core",C64="Low Activity"),"D","S"),"D"))</f>
        <v>SPLUS</v>
      </c>
      <c r="H64" s="39">
        <f>INDEX(PilotBuild,MATCH(G64,TierCodes,0))</f>
        <v>1416330</v>
      </c>
      <c r="I64" s="41">
        <f>H64/(PaybackYears*Ticket*Conversion*DashMargin)/E64</f>
        <v>0.0123285928404069</v>
      </c>
      <c r="J64" s="75" t="str">
        <f>IF(I64&lt;=Capture,"Yes","No")</f>
        <v>Yes</v>
      </c>
      <c r="K64" s="39">
        <f>INDEX(AtScale,MATCH(G64,TierCodes,0))</f>
        <v>1231151.26415049</v>
      </c>
      <c r="L64" s="41">
        <f>K64/(PaybackYears*Ticket*Conversion*DashMargin)/E64</f>
        <v>0.010716685137407</v>
      </c>
      <c r="M64" s="75" t="str">
        <f>IF(L64&lt;=Capture,"Yes","No")</f>
        <v>Yes</v>
      </c>
      <c r="N64" s="86">
        <f>INDEX(ArchFactor,MATCH(C64,ArchNames,0))</f>
        <v>1.2</v>
      </c>
      <c r="O64" s="41">
        <f>Capture*N64</f>
        <v>0.036</v>
      </c>
      <c r="P64" s="39">
        <f>MIN(E64*O64*Conversion*Ticket,INDEX(CapacityPsf,MATCH(G64,TierCodes,0))*INDEX(Area,MATCH(G64,TierCodes,0)))</f>
        <v>5440000</v>
      </c>
      <c r="Q64" s="39">
        <f>INDEX(Area,MATCH(G64,TierCodes,0))*RentPsf*(E64/Fref)^RentElasticity</f>
        <v>546487.961006967</v>
      </c>
      <c r="R64" s="39">
        <f>Q64+INDEX(RunOther,MATCH(G64,TierCodes,0))+INDEX(LicPlan,MATCH(G64,TierCodes,0))</f>
        <v>1057606.70767363</v>
      </c>
      <c r="S64" s="39">
        <f>(H64+R64*PaybackYears)/(ContribMargin*SumRamp)</f>
        <v>3242986.44832231</v>
      </c>
      <c r="T64" s="41">
        <f>S64/(E64*Conversion*Ticket)</f>
        <v>0.0211716864228268</v>
      </c>
      <c r="U64" s="75" t="str">
        <f>IF(S64&lt;=P64,"Yes","No")</f>
        <v>Yes</v>
      </c>
      <c r="V64" s="39">
        <f>(K64+R64*PaybackYears)/(ContribMargin*SumRamp)</f>
        <v>3112127.33175846</v>
      </c>
      <c r="W64" s="75" t="str">
        <f>IF(V64&lt;=P64,"Yes","No")</f>
        <v>Yes</v>
      </c>
      <c r="X64" s="82">
        <f>IF(MixSource="Melbourne: full store P&amp;L",IF(U64="Yes",1,0),IF(J64="Yes",1,0))</f>
        <v>1</v>
      </c>
      <c r="Y64" s="105">
        <f>X64*1000000000+E64</f>
        <v>1009573477</v>
      </c>
      <c r="Z64" s="82">
        <f>1+COUNTIFS($G$58:$G$135,G64,$Y$58:$Y$135,"&gt;"&amp;Y64)+COUNTIFS($G$58:$G$135,G64,$Y$58:$Y$135,Y64,$A$58:$A$135,"&lt;"&amp;A64)</f>
        <v>5</v>
      </c>
      <c r="AA64" s="69" t="str">
        <f>G64&amp;"|"&amp;Z64</f>
        <v>SPLUS|5</v>
      </c>
    </row>
    <row r="65">
      <c r="A65" s="102" t="n">
        <v>24</v>
      </c>
      <c r="B65" s="8" t="inlineStr">
        <is>
          <t>Spencer St-Collins St (North)</t>
        </is>
      </c>
      <c r="C65" s="8" t="inlineStr">
        <is>
          <t>Commuter Corridor</t>
        </is>
      </c>
      <c r="D65" s="103" t="n">
        <v>23857.6697</v>
      </c>
      <c r="E65" s="103" t="n">
        <v>7888311</v>
      </c>
      <c r="F65" s="104" t="inlineStr">
        <is>
          <t>S</t>
        </is>
      </c>
      <c r="G65" s="14" t="str">
        <f>IF(D65&gt;=FlagshipBar,IF(OR(C65="Destination Retail",C65="Evening / Entertainment",C65="CBD Core / All-Day"),"SPLUS",IF(C65="Low Activity","D","S")),IF(D65&gt;=StandardBar,IF(OR(C65="Office / Weekday Core",C65="Low Activity"),"D","S"),"D"))</f>
        <v>S</v>
      </c>
      <c r="H65" s="39">
        <f>INDEX(PilotBuild,MATCH(G65,TierCodes,0))</f>
        <v>799625</v>
      </c>
      <c r="I65" s="41">
        <f>H65/(PaybackYears*Ticket*Conversion*DashMargin)/E65</f>
        <v>0.00844736175673939</v>
      </c>
      <c r="J65" s="75" t="str">
        <f>IF(I65&lt;=Capture,"Yes","No")</f>
        <v>Yes</v>
      </c>
      <c r="K65" s="39">
        <f>INDEX(AtScale,MATCH(G65,TierCodes,0))</f>
        <v>682952.585715908</v>
      </c>
      <c r="L65" s="41">
        <f>K65/(PaybackYears*Ticket*Conversion*DashMargin)/E65</f>
        <v>0.00721481638798542</v>
      </c>
      <c r="M65" s="75" t="str">
        <f>IF(L65&lt;=Capture,"Yes","No")</f>
        <v>Yes</v>
      </c>
      <c r="N65" s="86">
        <f>INDEX(ArchFactor,MATCH(C65,ArchNames,0))</f>
        <v>0.5</v>
      </c>
      <c r="O65" s="41">
        <f>Capture*N65</f>
        <v>0.015</v>
      </c>
      <c r="P65" s="39">
        <f>MIN(E65*O65*Conversion*Ticket,INDEX(CapacityPsf,MATCH(G65,TierCodes,0))*INDEX(Area,MATCH(G65,TierCodes,0)))</f>
        <v>1893194.64</v>
      </c>
      <c r="Q65" s="39">
        <f>INDEX(Area,MATCH(G65,TierCodes,0))*RentPsf*(E65/Fref)^RentElasticity</f>
        <v>238417.706347625</v>
      </c>
      <c r="R65" s="39">
        <f>Q65+INDEX(RunOther,MATCH(G65,TierCodes,0))+INDEX(LicPlan,MATCH(G65,TierCodes,0))</f>
        <v>551553.279680958</v>
      </c>
      <c r="S65" s="39">
        <f>(H65+R65*PaybackYears)/(ContribMargin*SumRamp)</f>
        <v>1734354.34883957</v>
      </c>
      <c r="T65" s="41">
        <f>S65/(E65*Conversion*Ticket)</f>
        <v>0.0137414900100254</v>
      </c>
      <c r="U65" s="75" t="str">
        <f>IF(S65&lt;=P65,"Yes","No")</f>
        <v>Yes</v>
      </c>
      <c r="V65" s="39">
        <f>(K65+R65*PaybackYears)/(ContribMargin*SumRamp)</f>
        <v>1651906.17253818</v>
      </c>
      <c r="W65" s="75" t="str">
        <f>IF(V65&lt;=P65,"Yes","No")</f>
        <v>Yes</v>
      </c>
      <c r="X65" s="82">
        <f>IF(MixSource="Melbourne: full store P&amp;L",IF(U65="Yes",1,0),IF(J65="Yes",1,0))</f>
        <v>1</v>
      </c>
      <c r="Y65" s="105">
        <f>X65*1000000000+E65</f>
        <v>1007888311</v>
      </c>
      <c r="Z65" s="82">
        <f>1+COUNTIFS($G$58:$G$135,G65,$Y$58:$Y$135,"&gt;"&amp;Y65)+COUNTIFS($G$58:$G$135,G65,$Y$58:$Y$135,Y65,$A$58:$A$135,"&lt;"&amp;A65)</f>
        <v>3</v>
      </c>
      <c r="AA65" s="69" t="str">
        <f>G65&amp;"|"&amp;Z65</f>
        <v>S|3</v>
      </c>
    </row>
    <row r="66">
      <c r="A66" s="102" t="n">
        <v>47</v>
      </c>
      <c r="B66" s="8" t="inlineStr">
        <is>
          <t>Melbourne Central-Elizabeth St (East)</t>
        </is>
      </c>
      <c r="C66" s="8" t="inlineStr">
        <is>
          <t>Transit Spine</t>
        </is>
      </c>
      <c r="D66" s="103" t="n">
        <v>20906.6564</v>
      </c>
      <c r="E66" s="103" t="n">
        <v>7828789</v>
      </c>
      <c r="F66" s="104" t="inlineStr">
        <is>
          <t>S</t>
        </is>
      </c>
      <c r="G66" s="14" t="str">
        <f>IF(D66&gt;=FlagshipBar,IF(OR(C66="Destination Retail",C66="Evening / Entertainment",C66="CBD Core / All-Day"),"SPLUS",IF(C66="Low Activity","D","S")),IF(D66&gt;=StandardBar,IF(OR(C66="Office / Weekday Core",C66="Low Activity"),"D","S"),"D"))</f>
        <v>S</v>
      </c>
      <c r="H66" s="39">
        <f>INDEX(PilotBuild,MATCH(G66,TierCodes,0))</f>
        <v>799625</v>
      </c>
      <c r="I66" s="41">
        <f>H66/(PaybackYears*Ticket*Conversion*DashMargin)/E66</f>
        <v>0.00851158674306673</v>
      </c>
      <c r="J66" s="75" t="str">
        <f>IF(I66&lt;=Capture,"Yes","No")</f>
        <v>Yes</v>
      </c>
      <c r="K66" s="39">
        <f>INDEX(AtScale,MATCH(G66,TierCodes,0))</f>
        <v>682952.585715908</v>
      </c>
      <c r="L66" s="41">
        <f>K66/(PaybackYears*Ticket*Conversion*DashMargin)/E66</f>
        <v>0.00726967037639227</v>
      </c>
      <c r="M66" s="75" t="str">
        <f>IF(L66&lt;=Capture,"Yes","No")</f>
        <v>Yes</v>
      </c>
      <c r="N66" s="86">
        <f>INDEX(ArchFactor,MATCH(C66,ArchNames,0))</f>
        <v>0.6</v>
      </c>
      <c r="O66" s="41">
        <f>Capture*N66</f>
        <v>0.018</v>
      </c>
      <c r="P66" s="39">
        <f>MIN(E66*O66*Conversion*Ticket,INDEX(CapacityPsf,MATCH(G66,TierCodes,0))*INDEX(Area,MATCH(G66,TierCodes,0)))</f>
        <v>2254691.232</v>
      </c>
      <c r="Q66" s="39">
        <f>INDEX(Area,MATCH(G66,TierCodes,0))*RentPsf*(E66/Fref)^RentElasticity</f>
        <v>237426.568443498</v>
      </c>
      <c r="R66" s="39">
        <f>Q66+INDEX(RunOther,MATCH(G66,TierCodes,0))+INDEX(LicPlan,MATCH(G66,TierCodes,0))</f>
        <v>550562.141776831</v>
      </c>
      <c r="S66" s="39">
        <f>(H66+R66*PaybackYears)/(ContribMargin*SumRamp)</f>
        <v>1732253.14488764</v>
      </c>
      <c r="T66" s="41">
        <f>S66/(E66*Conversion*Ticket)</f>
        <v>0.0138291914056538</v>
      </c>
      <c r="U66" s="75" t="str">
        <f>IF(S66&lt;=P66,"Yes","No")</f>
        <v>Yes</v>
      </c>
      <c r="V66" s="39">
        <f>(K66+R66*PaybackYears)/(ContribMargin*SumRamp)</f>
        <v>1649804.96858625</v>
      </c>
      <c r="W66" s="75" t="str">
        <f>IF(V66&lt;=P66,"Yes","No")</f>
        <v>Yes</v>
      </c>
      <c r="X66" s="82">
        <f>IF(MixSource="Melbourne: full store P&amp;L",IF(U66="Yes",1,0),IF(J66="Yes",1,0))</f>
        <v>1</v>
      </c>
      <c r="Y66" s="105">
        <f>X66*1000000000+E66</f>
        <v>1007828789</v>
      </c>
      <c r="Z66" s="82">
        <f>1+COUNTIFS($G$58:$G$135,G66,$Y$58:$Y$135,"&gt;"&amp;Y66)+COUNTIFS($G$58:$G$135,G66,$Y$58:$Y$135,Y66,$A$58:$A$135,"&lt;"&amp;A66)</f>
        <v>4</v>
      </c>
      <c r="AA66" s="69" t="str">
        <f>G66&amp;"|"&amp;Z66</f>
        <v>S|4</v>
      </c>
    </row>
    <row r="67">
      <c r="A67" s="102" t="n">
        <v>65</v>
      </c>
      <c r="B67" s="8" t="inlineStr">
        <is>
          <t>Swanston St - City Square</t>
        </is>
      </c>
      <c r="C67" s="8" t="inlineStr">
        <is>
          <t>Transit Spine</t>
        </is>
      </c>
      <c r="D67" s="103" t="n">
        <v>20151.0137</v>
      </c>
      <c r="E67" s="103" t="n">
        <v>7457528</v>
      </c>
      <c r="F67" s="104" t="inlineStr">
        <is>
          <t>S</t>
        </is>
      </c>
      <c r="G67" s="14" t="str">
        <f>IF(D67&gt;=FlagshipBar,IF(OR(C67="Destination Retail",C67="Evening / Entertainment",C67="CBD Core / All-Day"),"SPLUS",IF(C67="Low Activity","D","S")),IF(D67&gt;=StandardBar,IF(OR(C67="Office / Weekday Core",C67="Low Activity"),"D","S"),"D"))</f>
        <v>S</v>
      </c>
      <c r="H67" s="39">
        <f>INDEX(PilotBuild,MATCH(G67,TierCodes,0))</f>
        <v>799625</v>
      </c>
      <c r="I67" s="41">
        <f>H67/(PaybackYears*Ticket*Conversion*DashMargin)/E67</f>
        <v>0.00893532235704199</v>
      </c>
      <c r="J67" s="75" t="str">
        <f>IF(I67&lt;=Capture,"Yes","No")</f>
        <v>Yes</v>
      </c>
      <c r="K67" s="39">
        <f>INDEX(AtScale,MATCH(G67,TierCodes,0))</f>
        <v>682952.585715908</v>
      </c>
      <c r="L67" s="41">
        <f>K67/(PaybackYears*Ticket*Conversion*DashMargin)/E67</f>
        <v>0.00763157918767797</v>
      </c>
      <c r="M67" s="75" t="str">
        <f>IF(L67&lt;=Capture,"Yes","No")</f>
        <v>Yes</v>
      </c>
      <c r="N67" s="86">
        <f>INDEX(ArchFactor,MATCH(C67,ArchNames,0))</f>
        <v>0.6</v>
      </c>
      <c r="O67" s="41">
        <f>Capture*N67</f>
        <v>0.018</v>
      </c>
      <c r="P67" s="39">
        <f>MIN(E67*O67*Conversion*Ticket,INDEX(CapacityPsf,MATCH(G67,TierCodes,0))*INDEX(Area,MATCH(G67,TierCodes,0)))</f>
        <v>2147768.064</v>
      </c>
      <c r="Q67" s="39">
        <f>INDEX(Area,MATCH(G67,TierCodes,0))*RentPsf*(E67/Fref)^RentElasticity</f>
        <v>231166.279374614</v>
      </c>
      <c r="R67" s="39">
        <f>Q67+INDEX(RunOther,MATCH(G67,TierCodes,0))+INDEX(LicPlan,MATCH(G67,TierCodes,0))</f>
        <v>544301.852707947</v>
      </c>
      <c r="S67" s="39">
        <f>(H67+R67*PaybackYears)/(ContribMargin*SumRamp)</f>
        <v>1718981.38514864</v>
      </c>
      <c r="T67" s="41">
        <f>S67/(E67*Conversion*Ticket)</f>
        <v>0.0144064275148266</v>
      </c>
      <c r="U67" s="75" t="str">
        <f>IF(S67&lt;=P67,"Yes","No")</f>
        <v>Yes</v>
      </c>
      <c r="V67" s="39">
        <f>(K67+R67*PaybackYears)/(ContribMargin*SumRamp)</f>
        <v>1636533.20884725</v>
      </c>
      <c r="W67" s="75" t="str">
        <f>IF(V67&lt;=P67,"Yes","No")</f>
        <v>Yes</v>
      </c>
      <c r="X67" s="82">
        <f>IF(MixSource="Melbourne: full store P&amp;L",IF(U67="Yes",1,0),IF(J67="Yes",1,0))</f>
        <v>1</v>
      </c>
      <c r="Y67" s="105">
        <f>X67*1000000000+E67</f>
        <v>1007457528</v>
      </c>
      <c r="Z67" s="82">
        <f>1+COUNTIFS($G$58:$G$135,G67,$Y$58:$Y$135,"&gt;"&amp;Y67)+COUNTIFS($G$58:$G$135,G67,$Y$58:$Y$135,Y67,$A$58:$A$135,"&lt;"&amp;A67)</f>
        <v>5</v>
      </c>
      <c r="AA67" s="69" t="str">
        <f>G67&amp;"|"&amp;Z67</f>
        <v>S|5</v>
      </c>
    </row>
    <row r="68">
      <c r="A68" s="102" t="n">
        <v>45</v>
      </c>
      <c r="B68" s="8" t="inlineStr">
        <is>
          <t>Little Collins St-Swanston St (East)</t>
        </is>
      </c>
      <c r="C68" s="8" t="inlineStr">
        <is>
          <t>Destination Retail</t>
        </is>
      </c>
      <c r="D68" s="103" t="n">
        <v>17931.9928</v>
      </c>
      <c r="E68" s="103" t="n">
        <v>6855611</v>
      </c>
      <c r="F68" s="104" t="inlineStr">
        <is>
          <t>SPLUS</t>
        </is>
      </c>
      <c r="G68" s="14" t="str">
        <f>IF(D68&gt;=FlagshipBar,IF(OR(C68="Destination Retail",C68="Evening / Entertainment",C68="CBD Core / All-Day"),"SPLUS",IF(C68="Low Activity","D","S")),IF(D68&gt;=StandardBar,IF(OR(C68="Office / Weekday Core",C68="Low Activity"),"D","S"),"D"))</f>
        <v>SPLUS</v>
      </c>
      <c r="H68" s="39">
        <f>INDEX(PilotBuild,MATCH(G68,TierCodes,0))</f>
        <v>1416330</v>
      </c>
      <c r="I68" s="41">
        <f>H68/(PaybackYears*Ticket*Conversion*DashMargin)/E68</f>
        <v>0.0172161897750616</v>
      </c>
      <c r="J68" s="75" t="str">
        <f>IF(I68&lt;=Capture,"Yes","No")</f>
        <v>Yes</v>
      </c>
      <c r="K68" s="39">
        <f>INDEX(AtScale,MATCH(G68,TierCodes,0))</f>
        <v>1231151.26415049</v>
      </c>
      <c r="L68" s="41">
        <f>K68/(PaybackYears*Ticket*Conversion*DashMargin)/E68</f>
        <v>0.0149652508987467</v>
      </c>
      <c r="M68" s="75" t="str">
        <f>IF(L68&lt;=Capture,"Yes","No")</f>
        <v>Yes</v>
      </c>
      <c r="N68" s="86">
        <f>INDEX(ArchFactor,MATCH(C68,ArchNames,0))</f>
        <v>1.2</v>
      </c>
      <c r="O68" s="41">
        <f>Capture*N68</f>
        <v>0.036</v>
      </c>
      <c r="P68" s="39">
        <f>MIN(E68*O68*Conversion*Ticket,INDEX(CapacityPsf,MATCH(G68,TierCodes,0))*INDEX(Area,MATCH(G68,TierCodes,0)))</f>
        <v>3948831.936</v>
      </c>
      <c r="Q68" s="39">
        <f>INDEX(Area,MATCH(G68,TierCodes,0))*RentPsf*(E68/Fref)^RentElasticity</f>
        <v>454797.068604171</v>
      </c>
      <c r="R68" s="39">
        <f>Q68+INDEX(RunOther,MATCH(G68,TierCodes,0))+INDEX(LicPlan,MATCH(G68,TierCodes,0))</f>
        <v>965915.815270838</v>
      </c>
      <c r="S68" s="39">
        <f>(H68+R68*PaybackYears)/(ContribMargin*SumRamp)</f>
        <v>3048602.53396404</v>
      </c>
      <c r="T68" s="41">
        <f>S68/(E68*Conversion*Ticket)</f>
        <v>0.0277929506754033</v>
      </c>
      <c r="U68" s="75" t="str">
        <f>IF(S68&lt;=P68,"Yes","No")</f>
        <v>Yes</v>
      </c>
      <c r="V68" s="39">
        <f>(K68+R68*PaybackYears)/(ContribMargin*SumRamp)</f>
        <v>2917743.41740019</v>
      </c>
      <c r="W68" s="75" t="str">
        <f>IF(V68&lt;=P68,"Yes","No")</f>
        <v>Yes</v>
      </c>
      <c r="X68" s="82">
        <f>IF(MixSource="Melbourne: full store P&amp;L",IF(U68="Yes",1,0),IF(J68="Yes",1,0))</f>
        <v>1</v>
      </c>
      <c r="Y68" s="105">
        <f>X68*1000000000+E68</f>
        <v>1006855611</v>
      </c>
      <c r="Z68" s="82">
        <f>1+COUNTIFS($G$58:$G$135,G68,$Y$58:$Y$135,"&gt;"&amp;Y68)+COUNTIFS($G$58:$G$135,G68,$Y$58:$Y$135,Y68,$A$58:$A$135,"&lt;"&amp;A68)</f>
        <v>6</v>
      </c>
      <c r="AA68" s="69" t="str">
        <f>G68&amp;"|"&amp;Z68</f>
        <v>SPLUS|6</v>
      </c>
    </row>
    <row r="69">
      <c r="A69" s="102" t="n">
        <v>59</v>
      </c>
      <c r="B69" s="8" t="inlineStr">
        <is>
          <t>Building 80 RMIT</t>
        </is>
      </c>
      <c r="C69" s="8" t="inlineStr">
        <is>
          <t>Office / Weekday Core</t>
        </is>
      </c>
      <c r="D69" s="103" t="n">
        <v>20434.8585</v>
      </c>
      <c r="E69" s="103" t="n">
        <v>6477460</v>
      </c>
      <c r="F69" s="104" t="inlineStr">
        <is>
          <t>S</t>
        </is>
      </c>
      <c r="G69" s="14" t="str">
        <f>IF(D69&gt;=FlagshipBar,IF(OR(C69="Destination Retail",C69="Evening / Entertainment",C69="CBD Core / All-Day"),"SPLUS",IF(C69="Low Activity","D","S")),IF(D69&gt;=StandardBar,IF(OR(C69="Office / Weekday Core",C69="Low Activity"),"D","S"),"D"))</f>
        <v>S</v>
      </c>
      <c r="H69" s="39">
        <f>INDEX(PilotBuild,MATCH(G69,TierCodes,0))</f>
        <v>799625</v>
      </c>
      <c r="I69" s="41">
        <f>H69/(PaybackYears*Ticket*Conversion*DashMargin)/E69</f>
        <v>0.0102872756708134</v>
      </c>
      <c r="J69" s="75" t="str">
        <f>IF(I69&lt;=Capture,"Yes","No")</f>
        <v>Yes</v>
      </c>
      <c r="K69" s="39">
        <f>INDEX(AtScale,MATCH(G69,TierCodes,0))</f>
        <v>682952.585715908</v>
      </c>
      <c r="L69" s="41">
        <f>K69/(PaybackYears*Ticket*Conversion*DashMargin)/E69</f>
        <v>0.00878627046347267</v>
      </c>
      <c r="M69" s="75" t="str">
        <f>IF(L69&lt;=Capture,"Yes","No")</f>
        <v>Yes</v>
      </c>
      <c r="N69" s="86">
        <f>INDEX(ArchFactor,MATCH(C69,ArchNames,0))</f>
        <v>0.7</v>
      </c>
      <c r="O69" s="41">
        <f>Capture*N69</f>
        <v>0.021</v>
      </c>
      <c r="P69" s="39">
        <f>MIN(E69*O69*Conversion*Ticket,INDEX(CapacityPsf,MATCH(G69,TierCodes,0))*INDEX(Area,MATCH(G69,TierCodes,0)))</f>
        <v>2176426.56</v>
      </c>
      <c r="Q69" s="39">
        <f>INDEX(Area,MATCH(G69,TierCodes,0))*RentPsf*(E69/Fref)^RentElasticity</f>
        <v>213929.117200219</v>
      </c>
      <c r="R69" s="39">
        <f>Q69+INDEX(RunOther,MATCH(G69,TierCodes,0))+INDEX(LicPlan,MATCH(G69,TierCodes,0))</f>
        <v>527064.690533553</v>
      </c>
      <c r="S69" s="39">
        <f>(H69+R69*PaybackYears)/(ContribMargin*SumRamp)</f>
        <v>1682438.74750947</v>
      </c>
      <c r="T69" s="41">
        <f>S69/(E69*Conversion*Ticket)</f>
        <v>0.0162335887399293</v>
      </c>
      <c r="U69" s="75" t="str">
        <f>IF(S69&lt;=P69,"Yes","No")</f>
        <v>Yes</v>
      </c>
      <c r="V69" s="39">
        <f>(K69+R69*PaybackYears)/(ContribMargin*SumRamp)</f>
        <v>1599990.57120809</v>
      </c>
      <c r="W69" s="75" t="str">
        <f>IF(V69&lt;=P69,"Yes","No")</f>
        <v>Yes</v>
      </c>
      <c r="X69" s="82">
        <f>IF(MixSource="Melbourne: full store P&amp;L",IF(U69="Yes",1,0),IF(J69="Yes",1,0))</f>
        <v>1</v>
      </c>
      <c r="Y69" s="105">
        <f>X69*1000000000+E69</f>
        <v>1006477460</v>
      </c>
      <c r="Z69" s="82">
        <f>1+COUNTIFS($G$58:$G$135,G69,$Y$58:$Y$135,"&gt;"&amp;Y69)+COUNTIFS($G$58:$G$135,G69,$Y$58:$Y$135,Y69,$A$58:$A$135,"&lt;"&amp;A69)</f>
        <v>6</v>
      </c>
      <c r="AA69" s="69" t="str">
        <f>G69&amp;"|"&amp;Z69</f>
        <v>S|6</v>
      </c>
    </row>
    <row r="70">
      <c r="A70" s="102" t="n">
        <v>28</v>
      </c>
      <c r="B70" s="8" t="inlineStr">
        <is>
          <t>The Arts Centre</t>
        </is>
      </c>
      <c r="C70" s="8" t="inlineStr">
        <is>
          <t>Transit Spine</t>
        </is>
      </c>
      <c r="D70" s="103" t="n">
        <v>16698.4524</v>
      </c>
      <c r="E70" s="103" t="n">
        <v>6301658</v>
      </c>
      <c r="F70" s="104" t="inlineStr">
        <is>
          <t>S</t>
        </is>
      </c>
      <c r="G70" s="14" t="str">
        <f>IF(D70&gt;=FlagshipBar,IF(OR(C70="Destination Retail",C70="Evening / Entertainment",C70="CBD Core / All-Day"),"SPLUS",IF(C70="Low Activity","D","S")),IF(D70&gt;=StandardBar,IF(OR(C70="Office / Weekday Core",C70="Low Activity"),"D","S"),"D"))</f>
        <v>S</v>
      </c>
      <c r="H70" s="39">
        <f>INDEX(PilotBuild,MATCH(G70,TierCodes,0))</f>
        <v>799625</v>
      </c>
      <c r="I70" s="41">
        <f>H70/(PaybackYears*Ticket*Conversion*DashMargin)/E70</f>
        <v>0.0105742673859271</v>
      </c>
      <c r="J70" s="75" t="str">
        <f>IF(I70&lt;=Capture,"Yes","No")</f>
        <v>Yes</v>
      </c>
      <c r="K70" s="39">
        <f>INDEX(AtScale,MATCH(G70,TierCodes,0))</f>
        <v>682952.585715908</v>
      </c>
      <c r="L70" s="41">
        <f>K70/(PaybackYears*Ticket*Conversion*DashMargin)/E70</f>
        <v>0.00903138752949235</v>
      </c>
      <c r="M70" s="75" t="str">
        <f>IF(L70&lt;=Capture,"Yes","No")</f>
        <v>Yes</v>
      </c>
      <c r="N70" s="86">
        <f>INDEX(ArchFactor,MATCH(C70,ArchNames,0))</f>
        <v>0.6</v>
      </c>
      <c r="O70" s="41">
        <f>Capture*N70</f>
        <v>0.018</v>
      </c>
      <c r="P70" s="39">
        <f>MIN(E70*O70*Conversion*Ticket,INDEX(CapacityPsf,MATCH(G70,TierCodes,0))*INDEX(Area,MATCH(G70,TierCodes,0)))</f>
        <v>1814877.504</v>
      </c>
      <c r="Q70" s="39">
        <f>INDEX(Area,MATCH(G70,TierCodes,0))*RentPsf*(E70/Fref)^RentElasticity</f>
        <v>210715.968430189</v>
      </c>
      <c r="R70" s="39">
        <f>Q70+INDEX(RunOther,MATCH(G70,TierCodes,0))+INDEX(LicPlan,MATCH(G70,TierCodes,0))</f>
        <v>523851.541763522</v>
      </c>
      <c r="S70" s="39">
        <f>(H70+R70*PaybackYears)/(ContribMargin*SumRamp)</f>
        <v>1675626.8993644</v>
      </c>
      <c r="T70" s="41">
        <f>S70/(E70*Conversion*Ticket)</f>
        <v>0.0166189090569934</v>
      </c>
      <c r="U70" s="75" t="str">
        <f>IF(S70&lt;=P70,"Yes","No")</f>
        <v>Yes</v>
      </c>
      <c r="V70" s="39">
        <f>(K70+R70*PaybackYears)/(ContribMargin*SumRamp)</f>
        <v>1593178.72306302</v>
      </c>
      <c r="W70" s="75" t="str">
        <f>IF(V70&lt;=P70,"Yes","No")</f>
        <v>Yes</v>
      </c>
      <c r="X70" s="82">
        <f>IF(MixSource="Melbourne: full store P&amp;L",IF(U70="Yes",1,0),IF(J70="Yes",1,0))</f>
        <v>1</v>
      </c>
      <c r="Y70" s="105">
        <f>X70*1000000000+E70</f>
        <v>1006301658</v>
      </c>
      <c r="Z70" s="82">
        <f>1+COUNTIFS($G$58:$G$135,G70,$Y$58:$Y$135,"&gt;"&amp;Y70)+COUNTIFS($G$58:$G$135,G70,$Y$58:$Y$135,Y70,$A$58:$A$135,"&lt;"&amp;A70)</f>
        <v>7</v>
      </c>
      <c r="AA70" s="69" t="str">
        <f>G70&amp;"|"&amp;Z70</f>
        <v>S|7</v>
      </c>
    </row>
    <row r="71">
      <c r="A71" s="102" t="n">
        <v>209</v>
      </c>
      <c r="B71" s="8" t="inlineStr">
        <is>
          <t>Flinders Underpass - Walkway</t>
        </is>
      </c>
      <c r="C71" s="8" t="inlineStr">
        <is>
          <t>CBD Core / All-Day</t>
        </is>
      </c>
      <c r="D71" s="103" t="n">
        <v>16887.7543</v>
      </c>
      <c r="E71" s="103" t="n">
        <v>6219798</v>
      </c>
      <c r="F71" s="104" t="inlineStr">
        <is>
          <t>SPLUS</t>
        </is>
      </c>
      <c r="G71" s="14" t="str">
        <f>IF(D71&gt;=FlagshipBar,IF(OR(C71="Destination Retail",C71="Evening / Entertainment",C71="CBD Core / All-Day"),"SPLUS",IF(C71="Low Activity","D","S")),IF(D71&gt;=StandardBar,IF(OR(C71="Office / Weekday Core",C71="Low Activity"),"D","S"),"D"))</f>
        <v>SPLUS</v>
      </c>
      <c r="H71" s="39">
        <f>INDEX(PilotBuild,MATCH(G71,TierCodes,0))</f>
        <v>1416330</v>
      </c>
      <c r="I71" s="41">
        <f>H71/(PaybackYears*Ticket*Conversion*DashMargin)/E71</f>
        <v>0.0189760985806935</v>
      </c>
      <c r="J71" s="75" t="str">
        <f>IF(I71&lt;=Capture,"Yes","No")</f>
        <v>Yes</v>
      </c>
      <c r="K71" s="39">
        <f>INDEX(AtScale,MATCH(G71,TierCodes,0))</f>
        <v>1231151.26415049</v>
      </c>
      <c r="L71" s="41">
        <f>K71/(PaybackYears*Ticket*Conversion*DashMargin)/E71</f>
        <v>0.0164950595950556</v>
      </c>
      <c r="M71" s="75" t="str">
        <f>IF(L71&lt;=Capture,"Yes","No")</f>
        <v>Yes</v>
      </c>
      <c r="N71" s="86">
        <f>INDEX(ArchFactor,MATCH(C71,ArchNames,0))</f>
        <v>1</v>
      </c>
      <c r="O71" s="41">
        <f>Capture*N71</f>
        <v>0.03</v>
      </c>
      <c r="P71" s="39">
        <f>MIN(E71*O71*Conversion*Ticket,INDEX(CapacityPsf,MATCH(G71,TierCodes,0))*INDEX(Area,MATCH(G71,TierCodes,0)))</f>
        <v>2985503.04</v>
      </c>
      <c r="Q71" s="39">
        <f>INDEX(Area,MATCH(G71,TierCodes,0))*RentPsf*(E71/Fref)^RentElasticity</f>
        <v>431091.261149854</v>
      </c>
      <c r="R71" s="39">
        <f>Q71+INDEX(RunOther,MATCH(G71,TierCodes,0))+INDEX(LicPlan,MATCH(G71,TierCodes,0))</f>
        <v>942210.007816521</v>
      </c>
      <c r="S71" s="39">
        <f>(H71+R71*PaybackYears)/(ContribMargin*SumRamp)</f>
        <v>2998346.42318533</v>
      </c>
      <c r="T71" s="41">
        <f>S71/(E71*Conversion*Ticket)</f>
        <v>0.0301290574788897</v>
      </c>
      <c r="U71" s="75" t="str">
        <f>IF(S71&lt;=P71,"Yes","No")</f>
        <v>No</v>
      </c>
      <c r="V71" s="39">
        <f>(K71+R71*PaybackYears)/(ContribMargin*SumRamp)</f>
        <v>2867487.30662148</v>
      </c>
      <c r="W71" s="75" t="str">
        <f>IF(V71&lt;=P71,"Yes","No")</f>
        <v>Yes</v>
      </c>
      <c r="X71" s="82">
        <f>IF(MixSource="Melbourne: full store P&amp;L",IF(U71="Yes",1,0),IF(J71="Yes",1,0))</f>
        <v>1</v>
      </c>
      <c r="Y71" s="105">
        <f>X71*1000000000+E71</f>
        <v>1006219798</v>
      </c>
      <c r="Z71" s="82">
        <f>1+COUNTIFS($G$58:$G$135,G71,$Y$58:$Y$135,"&gt;"&amp;Y71)+COUNTIFS($G$58:$G$135,G71,$Y$58:$Y$135,Y71,$A$58:$A$135,"&lt;"&amp;A71)</f>
        <v>7</v>
      </c>
      <c r="AA71" s="69" t="str">
        <f>G71&amp;"|"&amp;Z71</f>
        <v>SPLUS|7</v>
      </c>
    </row>
    <row r="72">
      <c r="A72" s="102" t="n">
        <v>25</v>
      </c>
      <c r="B72" s="8" t="inlineStr">
        <is>
          <t>Melbourne Convention Exhibition Centre</t>
        </is>
      </c>
      <c r="C72" s="8" t="inlineStr">
        <is>
          <t>Transit Spine</t>
        </is>
      </c>
      <c r="D72" s="103" t="n">
        <v>15077.8416</v>
      </c>
      <c r="E72" s="103" t="n">
        <v>6091250</v>
      </c>
      <c r="F72" s="104" t="inlineStr">
        <is>
          <t>S</t>
        </is>
      </c>
      <c r="G72" s="14" t="str">
        <f>IF(D72&gt;=FlagshipBar,IF(OR(C72="Destination Retail",C72="Evening / Entertainment",C72="CBD Core / All-Day"),"SPLUS",IF(C72="Low Activity","D","S")),IF(D72&gt;=StandardBar,IF(OR(C72="Office / Weekday Core",C72="Low Activity"),"D","S"),"D"))</f>
        <v>S</v>
      </c>
      <c r="H72" s="39">
        <f>INDEX(PilotBuild,MATCH(G72,TierCodes,0))</f>
        <v>799625</v>
      </c>
      <c r="I72" s="41">
        <f>H72/(PaybackYears*Ticket*Conversion*DashMargin)/E72</f>
        <v>0.0109395307476572</v>
      </c>
      <c r="J72" s="75" t="str">
        <f>IF(I72&lt;=Capture,"Yes","No")</f>
        <v>Yes</v>
      </c>
      <c r="K72" s="39">
        <f>INDEX(AtScale,MATCH(G72,TierCodes,0))</f>
        <v>682952.585715908</v>
      </c>
      <c r="L72" s="41">
        <f>K72/(PaybackYears*Ticket*Conversion*DashMargin)/E72</f>
        <v>0.00934335571127858</v>
      </c>
      <c r="M72" s="75" t="str">
        <f>IF(L72&lt;=Capture,"Yes","No")</f>
        <v>Yes</v>
      </c>
      <c r="N72" s="86">
        <f>INDEX(ArchFactor,MATCH(C72,ArchNames,0))</f>
        <v>0.6</v>
      </c>
      <c r="O72" s="41">
        <f>Capture*N72</f>
        <v>0.018</v>
      </c>
      <c r="P72" s="39">
        <f>MIN(E72*O72*Conversion*Ticket,INDEX(CapacityPsf,MATCH(G72,TierCodes,0))*INDEX(Area,MATCH(G72,TierCodes,0)))</f>
        <v>1754280</v>
      </c>
      <c r="Q72" s="39">
        <f>INDEX(Area,MATCH(G72,TierCodes,0))*RentPsf*(E72/Fref)^RentElasticity</f>
        <v>206816.805418814</v>
      </c>
      <c r="R72" s="39">
        <f>Q72+INDEX(RunOther,MATCH(G72,TierCodes,0))+INDEX(LicPlan,MATCH(G72,TierCodes,0))</f>
        <v>519952.378752147</v>
      </c>
      <c r="S72" s="39">
        <f>(H72+R72*PaybackYears)/(ContribMargin*SumRamp)</f>
        <v>1667360.70684506</v>
      </c>
      <c r="T72" s="41">
        <f>S72/(E72*Conversion*Ticket)</f>
        <v>0.0171081541847431</v>
      </c>
      <c r="U72" s="75" t="str">
        <f>IF(S72&lt;=P72,"Yes","No")</f>
        <v>Yes</v>
      </c>
      <c r="V72" s="39">
        <f>(K72+R72*PaybackYears)/(ContribMargin*SumRamp)</f>
        <v>1584912.53054367</v>
      </c>
      <c r="W72" s="75" t="str">
        <f>IF(V72&lt;=P72,"Yes","No")</f>
        <v>Yes</v>
      </c>
      <c r="X72" s="82">
        <f>IF(MixSource="Melbourne: full store P&amp;L",IF(U72="Yes",1,0),IF(J72="Yes",1,0))</f>
        <v>1</v>
      </c>
      <c r="Y72" s="105">
        <f>X72*1000000000+E72</f>
        <v>1006091250</v>
      </c>
      <c r="Z72" s="82">
        <f>1+COUNTIFS($G$58:$G$135,G72,$Y$58:$Y$135,"&gt;"&amp;Y72)+COUNTIFS($G$58:$G$135,G72,$Y$58:$Y$135,Y72,$A$58:$A$135,"&lt;"&amp;A72)</f>
        <v>8</v>
      </c>
      <c r="AA72" s="69" t="str">
        <f>G72&amp;"|"&amp;Z72</f>
        <v>S|8</v>
      </c>
    </row>
    <row r="73">
      <c r="A73" s="102" t="n">
        <v>58</v>
      </c>
      <c r="B73" s="8" t="inlineStr">
        <is>
          <t>Bourke St - Spencer St (North)</t>
        </is>
      </c>
      <c r="C73" s="8" t="inlineStr">
        <is>
          <t>Commuter Corridor</t>
        </is>
      </c>
      <c r="D73" s="103" t="n">
        <v>17115.5811</v>
      </c>
      <c r="E73" s="103" t="n">
        <v>5854191</v>
      </c>
      <c r="F73" s="104" t="inlineStr">
        <is>
          <t>S</t>
        </is>
      </c>
      <c r="G73" s="14" t="str">
        <f>IF(D73&gt;=FlagshipBar,IF(OR(C73="Destination Retail",C73="Evening / Entertainment",C73="CBD Core / All-Day"),"SPLUS",IF(C73="Low Activity","D","S")),IF(D73&gt;=StandardBar,IF(OR(C73="Office / Weekday Core",C73="Low Activity"),"D","S"),"D"))</f>
        <v>S</v>
      </c>
      <c r="H73" s="39">
        <f>INDEX(PilotBuild,MATCH(G73,TierCodes,0))</f>
        <v>799625</v>
      </c>
      <c r="I73" s="41">
        <f>H73/(PaybackYears*Ticket*Conversion*DashMargin)/E73</f>
        <v>0.0113825149652047</v>
      </c>
      <c r="J73" s="75" t="str">
        <f>IF(I73&lt;=Capture,"Yes","No")</f>
        <v>Yes</v>
      </c>
      <c r="K73" s="39">
        <f>INDEX(AtScale,MATCH(G73,TierCodes,0))</f>
        <v>682952.585715908</v>
      </c>
      <c r="L73" s="41">
        <f>K73/(PaybackYears*Ticket*Conversion*DashMargin)/E73</f>
        <v>0.00972170458331914</v>
      </c>
      <c r="M73" s="75" t="str">
        <f>IF(L73&lt;=Capture,"Yes","No")</f>
        <v>Yes</v>
      </c>
      <c r="N73" s="86">
        <f>INDEX(ArchFactor,MATCH(C73,ArchNames,0))</f>
        <v>0.5</v>
      </c>
      <c r="O73" s="41">
        <f>Capture*N73</f>
        <v>0.015</v>
      </c>
      <c r="P73" s="39">
        <f>MIN(E73*O73*Conversion*Ticket,INDEX(CapacityPsf,MATCH(G73,TierCodes,0))*INDEX(Area,MATCH(G73,TierCodes,0)))</f>
        <v>1405005.84</v>
      </c>
      <c r="Q73" s="39">
        <f>INDEX(Area,MATCH(G73,TierCodes,0))*RentPsf*(E73/Fref)^RentElasticity</f>
        <v>202350.406122672</v>
      </c>
      <c r="R73" s="39">
        <f>Q73+INDEX(RunOther,MATCH(G73,TierCodes,0))+INDEX(LicPlan,MATCH(G73,TierCodes,0))</f>
        <v>515485.979456005</v>
      </c>
      <c r="S73" s="39">
        <f>(H73+R73*PaybackYears)/(ContribMargin*SumRamp)</f>
        <v>1657891.97821215</v>
      </c>
      <c r="T73" s="41">
        <f>S73/(E73*Conversion*Ticket)</f>
        <v>0.0176998407872684</v>
      </c>
      <c r="U73" s="75" t="str">
        <f>IF(S73&lt;=P73,"Yes","No")</f>
        <v>No</v>
      </c>
      <c r="V73" s="39">
        <f>(K73+R73*PaybackYears)/(ContribMargin*SumRamp)</f>
        <v>1575443.80191077</v>
      </c>
      <c r="W73" s="75" t="str">
        <f>IF(V73&lt;=P73,"Yes","No")</f>
        <v>No</v>
      </c>
      <c r="X73" s="82">
        <f>IF(MixSource="Melbourne: full store P&amp;L",IF(U73="Yes",1,0),IF(J73="Yes",1,0))</f>
        <v>1</v>
      </c>
      <c r="Y73" s="105">
        <f>X73*1000000000+E73</f>
        <v>1005854191</v>
      </c>
      <c r="Z73" s="82">
        <f>1+COUNTIFS($G$58:$G$135,G73,$Y$58:$Y$135,"&gt;"&amp;Y73)+COUNTIFS($G$58:$G$135,G73,$Y$58:$Y$135,Y73,$A$58:$A$135,"&lt;"&amp;A73)</f>
        <v>9</v>
      </c>
      <c r="AA73" s="69" t="str">
        <f>G73&amp;"|"&amp;Z73</f>
        <v>S|9</v>
      </c>
    </row>
    <row r="74">
      <c r="A74" s="102" t="n">
        <v>133</v>
      </c>
      <c r="B74" s="8" t="inlineStr">
        <is>
          <t>I-Hub Southern Cross Station - Lonsdale Street Entrance - South</t>
        </is>
      </c>
      <c r="C74" s="8" t="inlineStr">
        <is>
          <t>CBD Core / All-Day</t>
        </is>
      </c>
      <c r="D74" s="103" t="n">
        <v>15983.4518</v>
      </c>
      <c r="E74" s="103" t="n">
        <v>5616371</v>
      </c>
      <c r="F74" s="104" t="inlineStr">
        <is>
          <t>SPLUS</t>
        </is>
      </c>
      <c r="G74" s="14" t="str">
        <f>IF(D74&gt;=FlagshipBar,IF(OR(C74="Destination Retail",C74="Evening / Entertainment",C74="CBD Core / All-Day"),"SPLUS",IF(C74="Low Activity","D","S")),IF(D74&gt;=StandardBar,IF(OR(C74="Office / Weekday Core",C74="Low Activity"),"D","S"),"D"))</f>
        <v>SPLUS</v>
      </c>
      <c r="H74" s="39">
        <f>INDEX(PilotBuild,MATCH(G74,TierCodes,0))</f>
        <v>1416330</v>
      </c>
      <c r="I74" s="41">
        <f>H74/(PaybackYears*Ticket*Conversion*DashMargin)/E74</f>
        <v>0.0210149044641104</v>
      </c>
      <c r="J74" s="75" t="str">
        <f>IF(I74&lt;=Capture,"Yes","No")</f>
        <v>Yes</v>
      </c>
      <c r="K74" s="39">
        <f>INDEX(AtScale,MATCH(G74,TierCodes,0))</f>
        <v>1231151.26415049</v>
      </c>
      <c r="L74" s="41">
        <f>K74/(PaybackYears*Ticket*Conversion*DashMargin)/E74</f>
        <v>0.0182673008387814</v>
      </c>
      <c r="M74" s="75" t="str">
        <f>IF(L74&lt;=Capture,"Yes","No")</f>
        <v>Yes</v>
      </c>
      <c r="N74" s="86">
        <f>INDEX(ArchFactor,MATCH(C74,ArchNames,0))</f>
        <v>1</v>
      </c>
      <c r="O74" s="41">
        <f>Capture*N74</f>
        <v>0.03</v>
      </c>
      <c r="P74" s="39">
        <f>MIN(E74*O74*Conversion*Ticket,INDEX(CapacityPsf,MATCH(G74,TierCodes,0))*INDEX(Area,MATCH(G74,TierCodes,0)))</f>
        <v>2695858.08</v>
      </c>
      <c r="Q74" s="39">
        <f>INDEX(Area,MATCH(G74,TierCodes,0))*RentPsf*(E74/Fref)^RentElasticity</f>
        <v>407561.3090404</v>
      </c>
      <c r="R74" s="39">
        <f>Q74+INDEX(RunOther,MATCH(G74,TierCodes,0))+INDEX(LicPlan,MATCH(G74,TierCodes,0))</f>
        <v>918680.055707066</v>
      </c>
      <c r="S74" s="39">
        <f>(H74+R74*PaybackYears)/(ContribMargin*SumRamp)</f>
        <v>2948463.12424648</v>
      </c>
      <c r="T74" s="41">
        <f>S74/(E74*Conversion*Ticket)</f>
        <v>0.0328110349664232</v>
      </c>
      <c r="U74" s="75" t="str">
        <f>IF(S74&lt;=P74,"Yes","No")</f>
        <v>No</v>
      </c>
      <c r="V74" s="39">
        <f>(K74+R74*PaybackYears)/(ContribMargin*SumRamp)</f>
        <v>2817604.00768263</v>
      </c>
      <c r="W74" s="75" t="str">
        <f>IF(V74&lt;=P74,"Yes","No")</f>
        <v>No</v>
      </c>
      <c r="X74" s="82">
        <f>IF(MixSource="Melbourne: full store P&amp;L",IF(U74="Yes",1,0),IF(J74="Yes",1,0))</f>
        <v>1</v>
      </c>
      <c r="Y74" s="105">
        <f>X74*1000000000+E74</f>
        <v>1005616371</v>
      </c>
      <c r="Z74" s="82">
        <f>1+COUNTIFS($G$58:$G$135,G74,$Y$58:$Y$135,"&gt;"&amp;Y74)+COUNTIFS($G$58:$G$135,G74,$Y$58:$Y$135,Y74,$A$58:$A$135,"&lt;"&amp;A74)</f>
        <v>8</v>
      </c>
      <c r="AA74" s="69" t="str">
        <f>G74&amp;"|"&amp;Z74</f>
        <v>SPLUS|8</v>
      </c>
    </row>
    <row r="75">
      <c r="A75" s="102" t="n">
        <v>2</v>
      </c>
      <c r="B75" s="8" t="inlineStr">
        <is>
          <t>Bourke Street Mall (South)</t>
        </is>
      </c>
      <c r="C75" s="8" t="inlineStr">
        <is>
          <t>Destination Retail</t>
        </is>
      </c>
      <c r="D75" s="103" t="n">
        <v>14524.6446</v>
      </c>
      <c r="E75" s="103" t="n">
        <v>5496115</v>
      </c>
      <c r="F75" s="104" t="inlineStr">
        <is>
          <t>SPLUS</t>
        </is>
      </c>
      <c r="G75" s="14" t="str">
        <f>IF(D75&gt;=FlagshipBar,IF(OR(C75="Destination Retail",C75="Evening / Entertainment",C75="CBD Core / All-Day"),"SPLUS",IF(C75="Low Activity","D","S")),IF(D75&gt;=StandardBar,IF(OR(C75="Office / Weekday Core",C75="Low Activity"),"D","S"),"D"))</f>
        <v>SPLUS</v>
      </c>
      <c r="H75" s="39">
        <f>INDEX(PilotBuild,MATCH(G75,TierCodes,0))</f>
        <v>1416330</v>
      </c>
      <c r="I75" s="41">
        <f>H75/(PaybackYears*Ticket*Conversion*DashMargin)/E75</f>
        <v>0.0214747144119073</v>
      </c>
      <c r="J75" s="75" t="str">
        <f>IF(I75&lt;=Capture,"Yes","No")</f>
        <v>Yes</v>
      </c>
      <c r="K75" s="39">
        <f>INDEX(AtScale,MATCH(G75,TierCodes,0))</f>
        <v>1231151.26415049</v>
      </c>
      <c r="L75" s="41">
        <f>K75/(PaybackYears*Ticket*Conversion*DashMargin)/E75</f>
        <v>0.0186669927174391</v>
      </c>
      <c r="M75" s="75" t="str">
        <f>IF(L75&lt;=Capture,"Yes","No")</f>
        <v>Yes</v>
      </c>
      <c r="N75" s="86">
        <f>INDEX(ArchFactor,MATCH(C75,ArchNames,0))</f>
        <v>1.2</v>
      </c>
      <c r="O75" s="41">
        <f>Capture*N75</f>
        <v>0.036</v>
      </c>
      <c r="P75" s="39">
        <f>MIN(E75*O75*Conversion*Ticket,INDEX(CapacityPsf,MATCH(G75,TierCodes,0))*INDEX(Area,MATCH(G75,TierCodes,0)))</f>
        <v>3165762.24</v>
      </c>
      <c r="Q75" s="39">
        <f>INDEX(Area,MATCH(G75,TierCodes,0))*RentPsf*(E75/Fref)^RentElasticity</f>
        <v>402738.326544214</v>
      </c>
      <c r="R75" s="39">
        <f>Q75+INDEX(RunOther,MATCH(G75,TierCodes,0))+INDEX(LicPlan,MATCH(G75,TierCodes,0))</f>
        <v>913857.07321088</v>
      </c>
      <c r="S75" s="39">
        <f>(H75+R75*PaybackYears)/(ContribMargin*SumRamp)</f>
        <v>2938238.4422533</v>
      </c>
      <c r="T75" s="41">
        <f>S75/(E75*Conversion*Ticket)</f>
        <v>0.0334126747058297</v>
      </c>
      <c r="U75" s="75" t="str">
        <f>IF(S75&lt;=P75,"Yes","No")</f>
        <v>Yes</v>
      </c>
      <c r="V75" s="39">
        <f>(K75+R75*PaybackYears)/(ContribMargin*SumRamp)</f>
        <v>2807379.32568944</v>
      </c>
      <c r="W75" s="75" t="str">
        <f>IF(V75&lt;=P75,"Yes","No")</f>
        <v>Yes</v>
      </c>
      <c r="X75" s="82">
        <f>IF(MixSource="Melbourne: full store P&amp;L",IF(U75="Yes",1,0),IF(J75="Yes",1,0))</f>
        <v>1</v>
      </c>
      <c r="Y75" s="105">
        <f>X75*1000000000+E75</f>
        <v>1005496115</v>
      </c>
      <c r="Z75" s="82">
        <f>1+COUNTIFS($G$58:$G$135,G75,$Y$58:$Y$135,"&gt;"&amp;Y75)+COUNTIFS($G$58:$G$135,G75,$Y$58:$Y$135,Y75,$A$58:$A$135,"&lt;"&amp;A75)</f>
        <v>9</v>
      </c>
      <c r="AA75" s="69" t="str">
        <f>G75&amp;"|"&amp;Z75</f>
        <v>SPLUS|9</v>
      </c>
    </row>
    <row r="76">
      <c r="A76" s="102" t="n">
        <v>53</v>
      </c>
      <c r="B76" s="8" t="inlineStr">
        <is>
          <t>Collins Street (North)</t>
        </is>
      </c>
      <c r="C76" s="8" t="inlineStr">
        <is>
          <t>CBD Core / All-Day</t>
        </is>
      </c>
      <c r="D76" s="103" t="n">
        <v>14395.5129</v>
      </c>
      <c r="E76" s="103" t="n">
        <v>5072595</v>
      </c>
      <c r="F76" s="104" t="inlineStr">
        <is>
          <t>SPLUS</t>
        </is>
      </c>
      <c r="G76" s="14" t="str">
        <f>IF(D76&gt;=FlagshipBar,IF(OR(C76="Destination Retail",C76="Evening / Entertainment",C76="CBD Core / All-Day"),"SPLUS",IF(C76="Low Activity","D","S")),IF(D76&gt;=StandardBar,IF(OR(C76="Office / Weekday Core",C76="Low Activity"),"D","S"),"D"))</f>
        <v>SPLUS</v>
      </c>
      <c r="H76" s="39">
        <f>INDEX(PilotBuild,MATCH(G76,TierCodes,0))</f>
        <v>1416330</v>
      </c>
      <c r="I76" s="41">
        <f>H76/(PaybackYears*Ticket*Conversion*DashMargin)/E76</f>
        <v>0.0232676766033953</v>
      </c>
      <c r="J76" s="75" t="str">
        <f>IF(I76&lt;=Capture,"Yes","No")</f>
        <v>Yes</v>
      </c>
      <c r="K76" s="39">
        <f>INDEX(AtScale,MATCH(G76,TierCodes,0))</f>
        <v>1231151.26415049</v>
      </c>
      <c r="L76" s="41">
        <f>K76/(PaybackYears*Ticket*Conversion*DashMargin)/E76</f>
        <v>0.0202255332190343</v>
      </c>
      <c r="M76" s="75" t="str">
        <f>IF(L76&lt;=Capture,"Yes","No")</f>
        <v>Yes</v>
      </c>
      <c r="N76" s="86">
        <f>INDEX(ArchFactor,MATCH(C76,ArchNames,0))</f>
        <v>1</v>
      </c>
      <c r="O76" s="41">
        <f>Capture*N76</f>
        <v>0.03</v>
      </c>
      <c r="P76" s="39">
        <f>MIN(E76*O76*Conversion*Ticket,INDEX(CapacityPsf,MATCH(G76,TierCodes,0))*INDEX(Area,MATCH(G76,TierCodes,0)))</f>
        <v>2434845.6</v>
      </c>
      <c r="Q76" s="39">
        <f>INDEX(Area,MATCH(G76,TierCodes,0))*RentPsf*(E76/Fref)^RentElasticity</f>
        <v>385361.98384874</v>
      </c>
      <c r="R76" s="39">
        <f>Q76+INDEX(RunOther,MATCH(G76,TierCodes,0))+INDEX(LicPlan,MATCH(G76,TierCodes,0))</f>
        <v>896480.730515407</v>
      </c>
      <c r="S76" s="39">
        <f>(H76+R76*PaybackYears)/(ContribMargin*SumRamp)</f>
        <v>2901400.74308969</v>
      </c>
      <c r="T76" s="41">
        <f>S76/(E76*Conversion*Ticket)</f>
        <v>0.0357484771488963</v>
      </c>
      <c r="U76" s="75" t="str">
        <f>IF(S76&lt;=P76,"Yes","No")</f>
        <v>No</v>
      </c>
      <c r="V76" s="39">
        <f>(K76+R76*PaybackYears)/(ContribMargin*SumRamp)</f>
        <v>2770541.62652584</v>
      </c>
      <c r="W76" s="75" t="str">
        <f>IF(V76&lt;=P76,"Yes","No")</f>
        <v>No</v>
      </c>
      <c r="X76" s="82">
        <f>IF(MixSource="Melbourne: full store P&amp;L",IF(U76="Yes",1,0),IF(J76="Yes",1,0))</f>
        <v>1</v>
      </c>
      <c r="Y76" s="105">
        <f>X76*1000000000+E76</f>
        <v>1005072595</v>
      </c>
      <c r="Z76" s="82">
        <f>1+COUNTIFS($G$58:$G$135,G76,$Y$58:$Y$135,"&gt;"&amp;Y76)+COUNTIFS($G$58:$G$135,G76,$Y$58:$Y$135,Y76,$A$58:$A$135,"&lt;"&amp;A76)</f>
        <v>10</v>
      </c>
      <c r="AA76" s="69" t="str">
        <f>G76&amp;"|"&amp;Z76</f>
        <v>SPLUS|10</v>
      </c>
    </row>
    <row r="77">
      <c r="A77" s="102" t="n">
        <v>19</v>
      </c>
      <c r="B77" s="8" t="inlineStr">
        <is>
          <t>Chinatown-Swanston St (North)</t>
        </is>
      </c>
      <c r="C77" s="8" t="inlineStr">
        <is>
          <t>Evening / Entertainment</t>
        </is>
      </c>
      <c r="D77" s="103" t="n">
        <v>12156.6386</v>
      </c>
      <c r="E77" s="103" t="n">
        <v>4809096</v>
      </c>
      <c r="F77" s="104" t="inlineStr">
        <is>
          <t>SPLUS</t>
        </is>
      </c>
      <c r="G77" s="14" t="str">
        <f>IF(D77&gt;=FlagshipBar,IF(OR(C77="Destination Retail",C77="Evening / Entertainment",C77="CBD Core / All-Day"),"SPLUS",IF(C77="Low Activity","D","S")),IF(D77&gt;=StandardBar,IF(OR(C77="Office / Weekday Core",C77="Low Activity"),"D","S"),"D"))</f>
        <v>SPLUS</v>
      </c>
      <c r="H77" s="39">
        <f>INDEX(PilotBuild,MATCH(G77,TierCodes,0))</f>
        <v>1416330</v>
      </c>
      <c r="I77" s="41">
        <f>H77/(PaybackYears*Ticket*Conversion*DashMargin)/E77</f>
        <v>0.0245425543594888</v>
      </c>
      <c r="J77" s="75" t="str">
        <f>IF(I77&lt;=Capture,"Yes","No")</f>
        <v>Yes</v>
      </c>
      <c r="K77" s="39">
        <f>INDEX(AtScale,MATCH(G77,TierCodes,0))</f>
        <v>1231151.26415049</v>
      </c>
      <c r="L77" s="41">
        <f>K77/(PaybackYears*Ticket*Conversion*DashMargin)/E77</f>
        <v>0.0213337264798223</v>
      </c>
      <c r="M77" s="75" t="str">
        <f>IF(L77&lt;=Capture,"Yes","No")</f>
        <v>Yes</v>
      </c>
      <c r="N77" s="86">
        <f>INDEX(ArchFactor,MATCH(C77,ArchNames,0))</f>
        <v>1.1</v>
      </c>
      <c r="O77" s="41">
        <f>Capture*N77</f>
        <v>0.033</v>
      </c>
      <c r="P77" s="39">
        <f>MIN(E77*O77*Conversion*Ticket,INDEX(CapacityPsf,MATCH(G77,TierCodes,0))*INDEX(Area,MATCH(G77,TierCodes,0)))</f>
        <v>2539202.688</v>
      </c>
      <c r="Q77" s="39">
        <f>INDEX(Area,MATCH(G77,TierCodes,0))*RentPsf*(E77/Fref)^RentElasticity</f>
        <v>374220.14318043</v>
      </c>
      <c r="R77" s="39">
        <f>Q77+INDEX(RunOther,MATCH(G77,TierCodes,0))+INDEX(LicPlan,MATCH(G77,TierCodes,0))</f>
        <v>885338.889847096</v>
      </c>
      <c r="S77" s="39">
        <f>(H77+R77*PaybackYears)/(ContribMargin*SumRamp)</f>
        <v>2877780.1353553</v>
      </c>
      <c r="T77" s="41">
        <f>S77/(E77*Conversion*Ticket)</f>
        <v>0.0374002220915753</v>
      </c>
      <c r="U77" s="75" t="str">
        <f>IF(S77&lt;=P77,"Yes","No")</f>
        <v>No</v>
      </c>
      <c r="V77" s="39">
        <f>(K77+R77*PaybackYears)/(ContribMargin*SumRamp)</f>
        <v>2746921.01879145</v>
      </c>
      <c r="W77" s="75" t="str">
        <f>IF(V77&lt;=P77,"Yes","No")</f>
        <v>No</v>
      </c>
      <c r="X77" s="82">
        <f>IF(MixSource="Melbourne: full store P&amp;L",IF(U77="Yes",1,0),IF(J77="Yes",1,0))</f>
        <v>1</v>
      </c>
      <c r="Y77" s="105">
        <f>X77*1000000000+E77</f>
        <v>1004809096</v>
      </c>
      <c r="Z77" s="82">
        <f>1+COUNTIFS($G$58:$G$135,G77,$Y$58:$Y$135,"&gt;"&amp;Y77)+COUNTIFS($G$58:$G$135,G77,$Y$58:$Y$135,Y77,$A$58:$A$135,"&lt;"&amp;A77)</f>
        <v>11</v>
      </c>
      <c r="AA77" s="69" t="str">
        <f>G77&amp;"|"&amp;Z77</f>
        <v>SPLUS|11</v>
      </c>
    </row>
    <row r="78">
      <c r="A78" s="102" t="n">
        <v>79</v>
      </c>
      <c r="B78" s="8" t="inlineStr">
        <is>
          <t>Flinders St (South)</t>
        </is>
      </c>
      <c r="C78" s="8" t="inlineStr">
        <is>
          <t>Destination Retail</t>
        </is>
      </c>
      <c r="D78" s="103" t="n">
        <v>12555.6682</v>
      </c>
      <c r="E78" s="103" t="n">
        <v>4715990</v>
      </c>
      <c r="F78" s="104" t="inlineStr">
        <is>
          <t>SPLUS</t>
        </is>
      </c>
      <c r="G78" s="14" t="str">
        <f>IF(D78&gt;=FlagshipBar,IF(OR(C78="Destination Retail",C78="Evening / Entertainment",C78="CBD Core / All-Day"),"SPLUS",IF(C78="Low Activity","D","S")),IF(D78&gt;=StandardBar,IF(OR(C78="Office / Weekday Core",C78="Low Activity"),"D","S"),"D"))</f>
        <v>SPLUS</v>
      </c>
      <c r="H78" s="39">
        <f>INDEX(PilotBuild,MATCH(G78,TierCodes,0))</f>
        <v>1416330</v>
      </c>
      <c r="I78" s="41">
        <f>H78/(PaybackYears*Ticket*Conversion*DashMargin)/E78</f>
        <v>0.0250270886918759</v>
      </c>
      <c r="J78" s="75" t="str">
        <f>IF(I78&lt;=Capture,"Yes","No")</f>
        <v>Yes</v>
      </c>
      <c r="K78" s="39">
        <f>INDEX(AtScale,MATCH(G78,TierCodes,0))</f>
        <v>1231151.26415049</v>
      </c>
      <c r="L78" s="41">
        <f>K78/(PaybackYears*Ticket*Conversion*DashMargin)/E78</f>
        <v>0.021754910141711</v>
      </c>
      <c r="M78" s="75" t="str">
        <f>IF(L78&lt;=Capture,"Yes","No")</f>
        <v>Yes</v>
      </c>
      <c r="N78" s="86">
        <f>INDEX(ArchFactor,MATCH(C78,ArchNames,0))</f>
        <v>1.2</v>
      </c>
      <c r="O78" s="41">
        <f>Capture*N78</f>
        <v>0.036</v>
      </c>
      <c r="P78" s="39">
        <f>MIN(E78*O78*Conversion*Ticket,INDEX(CapacityPsf,MATCH(G78,TierCodes,0))*INDEX(Area,MATCH(G78,TierCodes,0)))</f>
        <v>2716410.24</v>
      </c>
      <c r="Q78" s="39">
        <f>INDEX(Area,MATCH(G78,TierCodes,0))*RentPsf*(E78/Fref)^RentElasticity</f>
        <v>370217.843291795</v>
      </c>
      <c r="R78" s="39">
        <f>Q78+INDEX(RunOther,MATCH(G78,TierCodes,0))+INDEX(LicPlan,MATCH(G78,TierCodes,0))</f>
        <v>881336.589958462</v>
      </c>
      <c r="S78" s="39">
        <f>(H78+R78*PaybackYears)/(ContribMargin*SumRamp)</f>
        <v>2869295.29353077</v>
      </c>
      <c r="T78" s="41">
        <f>S78/(E78*Conversion*Ticket)</f>
        <v>0.0380261526944868</v>
      </c>
      <c r="U78" s="75" t="str">
        <f>IF(S78&lt;=P78,"Yes","No")</f>
        <v>No</v>
      </c>
      <c r="V78" s="39">
        <f>(K78+R78*PaybackYears)/(ContribMargin*SumRamp)</f>
        <v>2738436.17696691</v>
      </c>
      <c r="W78" s="75" t="str">
        <f>IF(V78&lt;=P78,"Yes","No")</f>
        <v>No</v>
      </c>
      <c r="X78" s="82">
        <f>IF(MixSource="Melbourne: full store P&amp;L",IF(U78="Yes",1,0),IF(J78="Yes",1,0))</f>
        <v>1</v>
      </c>
      <c r="Y78" s="105">
        <f>X78*1000000000+E78</f>
        <v>1004715990</v>
      </c>
      <c r="Z78" s="82">
        <f>1+COUNTIFS($G$58:$G$135,G78,$Y$58:$Y$135,"&gt;"&amp;Y78)+COUNTIFS($G$58:$G$135,G78,$Y$58:$Y$135,Y78,$A$58:$A$135,"&lt;"&amp;A78)</f>
        <v>12</v>
      </c>
      <c r="AA78" s="69" t="str">
        <f>G78&amp;"|"&amp;Z78</f>
        <v>SPLUS|12</v>
      </c>
    </row>
    <row r="79">
      <c r="A79" s="102" t="n">
        <v>61</v>
      </c>
      <c r="B79" s="8" t="inlineStr">
        <is>
          <t>RMIT Building 14</t>
        </is>
      </c>
      <c r="C79" s="8" t="inlineStr">
        <is>
          <t>Office / Weekday Core</t>
        </is>
      </c>
      <c r="D79" s="103" t="n">
        <v>13965.9682</v>
      </c>
      <c r="E79" s="103" t="n">
        <v>4655085</v>
      </c>
      <c r="F79" s="104" t="inlineStr">
        <is>
          <t>S</t>
        </is>
      </c>
      <c r="G79" s="14" t="str">
        <f>IF(D79&gt;=FlagshipBar,IF(OR(C79="Destination Retail",C79="Evening / Entertainment",C79="CBD Core / All-Day"),"SPLUS",IF(C79="Low Activity","D","S")),IF(D79&gt;=StandardBar,IF(OR(C79="Office / Weekday Core",C79="Low Activity"),"D","S"),"D"))</f>
        <v>S</v>
      </c>
      <c r="H79" s="39">
        <f>INDEX(PilotBuild,MATCH(G79,TierCodes,0))</f>
        <v>799625</v>
      </c>
      <c r="I79" s="41">
        <f>H79/(PaybackYears*Ticket*Conversion*DashMargin)/E79</f>
        <v>0.0143145434866746</v>
      </c>
      <c r="J79" s="75" t="str">
        <f>IF(I79&lt;=Capture,"Yes","No")</f>
        <v>Yes</v>
      </c>
      <c r="K79" s="39">
        <f>INDEX(AtScale,MATCH(G79,TierCodes,0))</f>
        <v>682952.585715908</v>
      </c>
      <c r="L79" s="41">
        <f>K79/(PaybackYears*Ticket*Conversion*DashMargin)/E79</f>
        <v>0.0122259240113394</v>
      </c>
      <c r="M79" s="75" t="str">
        <f>IF(L79&lt;=Capture,"Yes","No")</f>
        <v>Yes</v>
      </c>
      <c r="N79" s="86">
        <f>INDEX(ArchFactor,MATCH(C79,ArchNames,0))</f>
        <v>0.7</v>
      </c>
      <c r="O79" s="41">
        <f>Capture*N79</f>
        <v>0.021</v>
      </c>
      <c r="P79" s="39">
        <f>MIN(E79*O79*Conversion*Ticket,INDEX(CapacityPsf,MATCH(G79,TierCodes,0))*INDEX(Area,MATCH(G79,TierCodes,0)))</f>
        <v>1564108.56</v>
      </c>
      <c r="Q79" s="39">
        <f>INDEX(Area,MATCH(G79,TierCodes,0))*RentPsf*(E79/Fref)^RentElasticity</f>
        <v>178384.650005501</v>
      </c>
      <c r="R79" s="39">
        <f>Q79+INDEX(RunOther,MATCH(G79,TierCodes,0))+INDEX(LicPlan,MATCH(G79,TierCodes,0))</f>
        <v>491520.223338835</v>
      </c>
      <c r="S79" s="39">
        <f>(H79+R79*PaybackYears)/(ContribMargin*SumRamp)</f>
        <v>1607084.77847255</v>
      </c>
      <c r="T79" s="41">
        <f>S79/(E79*Conversion*Ticket)</f>
        <v>0.0215770063606861</v>
      </c>
      <c r="U79" s="75" t="str">
        <f>IF(S79&lt;=P79,"Yes","No")</f>
        <v>No</v>
      </c>
      <c r="V79" s="39">
        <f>(K79+R79*PaybackYears)/(ContribMargin*SumRamp)</f>
        <v>1524636.60217116</v>
      </c>
      <c r="W79" s="75" t="str">
        <f>IF(V79&lt;=P79,"Yes","No")</f>
        <v>Yes</v>
      </c>
      <c r="X79" s="82">
        <f>IF(MixSource="Melbourne: full store P&amp;L",IF(U79="Yes",1,0),IF(J79="Yes",1,0))</f>
        <v>1</v>
      </c>
      <c r="Y79" s="105">
        <f>X79*1000000000+E79</f>
        <v>1004655085</v>
      </c>
      <c r="Z79" s="82">
        <f>1+COUNTIFS($G$58:$G$135,G79,$Y$58:$Y$135,"&gt;"&amp;Y79)+COUNTIFS($G$58:$G$135,G79,$Y$58:$Y$135,Y79,$A$58:$A$135,"&lt;"&amp;A79)</f>
        <v>10</v>
      </c>
      <c r="AA79" s="69" t="str">
        <f>G79&amp;"|"&amp;Z79</f>
        <v>S|10</v>
      </c>
    </row>
    <row r="80">
      <c r="A80" s="102" t="n">
        <v>9</v>
      </c>
      <c r="B80" s="8" t="inlineStr">
        <is>
          <t>Southern Cross Station</t>
        </is>
      </c>
      <c r="C80" s="8" t="inlineStr">
        <is>
          <t>Commuter Corridor</t>
        </is>
      </c>
      <c r="D80" s="103" t="n">
        <v>16648.0135</v>
      </c>
      <c r="E80" s="103" t="n">
        <v>4605348</v>
      </c>
      <c r="F80" s="104" t="inlineStr">
        <is>
          <t>S</t>
        </is>
      </c>
      <c r="G80" s="14" t="str">
        <f>IF(D80&gt;=FlagshipBar,IF(OR(C80="Destination Retail",C80="Evening / Entertainment",C80="CBD Core / All-Day"),"SPLUS",IF(C80="Low Activity","D","S")),IF(D80&gt;=StandardBar,IF(OR(C80="Office / Weekday Core",C80="Low Activity"),"D","S"),"D"))</f>
        <v>S</v>
      </c>
      <c r="H80" s="39">
        <f>INDEX(PilotBuild,MATCH(G80,TierCodes,0))</f>
        <v>799625</v>
      </c>
      <c r="I80" s="41">
        <f>H80/(PaybackYears*Ticket*Conversion*DashMargin)/E80</f>
        <v>0.0144691381990387</v>
      </c>
      <c r="J80" s="75" t="str">
        <f>IF(I80&lt;=Capture,"Yes","No")</f>
        <v>Yes</v>
      </c>
      <c r="K80" s="39">
        <f>INDEX(AtScale,MATCH(G80,TierCodes,0))</f>
        <v>682952.585715908</v>
      </c>
      <c r="L80" s="41">
        <f>K80/(PaybackYears*Ticket*Conversion*DashMargin)/E80</f>
        <v>0.0123579619773198</v>
      </c>
      <c r="M80" s="75" t="str">
        <f>IF(L80&lt;=Capture,"Yes","No")</f>
        <v>Yes</v>
      </c>
      <c r="N80" s="86">
        <f>INDEX(ArchFactor,MATCH(C80,ArchNames,0))</f>
        <v>0.5</v>
      </c>
      <c r="O80" s="41">
        <f>Capture*N80</f>
        <v>0.015</v>
      </c>
      <c r="P80" s="39">
        <f>MIN(E80*O80*Conversion*Ticket,INDEX(CapacityPsf,MATCH(G80,TierCodes,0))*INDEX(Area,MATCH(G80,TierCodes,0)))</f>
        <v>1105283.52</v>
      </c>
      <c r="Q80" s="39">
        <f>INDEX(Area,MATCH(G80,TierCodes,0))*RentPsf*(E80/Fref)^RentElasticity</f>
        <v>177333.849323211</v>
      </c>
      <c r="R80" s="39">
        <f>Q80+INDEX(RunOther,MATCH(G80,TierCodes,0))+INDEX(LicPlan,MATCH(G80,TierCodes,0))</f>
        <v>490469.422656545</v>
      </c>
      <c r="S80" s="39">
        <f>(H80+R80*PaybackYears)/(ContribMargin*SumRamp)</f>
        <v>1604857.08993685</v>
      </c>
      <c r="T80" s="41">
        <f>S80/(E80*Conversion*Ticket)</f>
        <v>0.0217798021172457</v>
      </c>
      <c r="U80" s="75" t="str">
        <f>IF(S80&lt;=P80,"Yes","No")</f>
        <v>No</v>
      </c>
      <c r="V80" s="39">
        <f>(K80+R80*PaybackYears)/(ContribMargin*SumRamp)</f>
        <v>1522408.91363546</v>
      </c>
      <c r="W80" s="75" t="str">
        <f>IF(V80&lt;=P80,"Yes","No")</f>
        <v>No</v>
      </c>
      <c r="X80" s="82">
        <f>IF(MixSource="Melbourne: full store P&amp;L",IF(U80="Yes",1,0),IF(J80="Yes",1,0))</f>
        <v>1</v>
      </c>
      <c r="Y80" s="105">
        <f>X80*1000000000+E80</f>
        <v>1004605348</v>
      </c>
      <c r="Z80" s="82">
        <f>1+COUNTIFS($G$58:$G$135,G80,$Y$58:$Y$135,"&gt;"&amp;Y80)+COUNTIFS($G$58:$G$135,G80,$Y$58:$Y$135,Y80,$A$58:$A$135,"&lt;"&amp;A80)</f>
        <v>11</v>
      </c>
      <c r="AA80" s="69" t="str">
        <f>G80&amp;"|"&amp;Z80</f>
        <v>S|11</v>
      </c>
    </row>
    <row r="81">
      <c r="A81" s="102" t="n">
        <v>134</v>
      </c>
      <c r="B81" s="8" t="inlineStr">
        <is>
          <t>I-Hub Southern Cross Station - Bourke Street Entrance - North</t>
        </is>
      </c>
      <c r="C81" s="8" t="inlineStr">
        <is>
          <t>CBD Core / All-Day</t>
        </is>
      </c>
      <c r="D81" s="103" t="n">
        <v>12553.405</v>
      </c>
      <c r="E81" s="103" t="n">
        <v>4493666</v>
      </c>
      <c r="F81" s="104" t="inlineStr">
        <is>
          <t>SPLUS</t>
        </is>
      </c>
      <c r="G81" s="14" t="str">
        <f>IF(D81&gt;=FlagshipBar,IF(OR(C81="Destination Retail",C81="Evening / Entertainment",C81="CBD Core / All-Day"),"SPLUS",IF(C81="Low Activity","D","S")),IF(D81&gt;=StandardBar,IF(OR(C81="Office / Weekday Core",C81="Low Activity"),"D","S"),"D"))</f>
        <v>SPLUS</v>
      </c>
      <c r="H81" s="39">
        <f>INDEX(PilotBuild,MATCH(G81,TierCodes,0))</f>
        <v>1416330</v>
      </c>
      <c r="I81" s="41">
        <f>H81/(PaybackYears*Ticket*Conversion*DashMargin)/E81</f>
        <v>0.0262653032067804</v>
      </c>
      <c r="J81" s="75" t="str">
        <f>IF(I81&lt;=Capture,"Yes","No")</f>
        <v>Yes</v>
      </c>
      <c r="K81" s="39">
        <f>INDEX(AtScale,MATCH(G81,TierCodes,0))</f>
        <v>1231151.26415049</v>
      </c>
      <c r="L81" s="41">
        <f>K81/(PaybackYears*Ticket*Conversion*DashMargin)/E81</f>
        <v>0.0228312337141228</v>
      </c>
      <c r="M81" s="75" t="str">
        <f>IF(L81&lt;=Capture,"Yes","No")</f>
        <v>Yes</v>
      </c>
      <c r="N81" s="86">
        <f>INDEX(ArchFactor,MATCH(C81,ArchNames,0))</f>
        <v>1</v>
      </c>
      <c r="O81" s="41">
        <f>Capture*N81</f>
        <v>0.03</v>
      </c>
      <c r="P81" s="39">
        <f>MIN(E81*O81*Conversion*Ticket,INDEX(CapacityPsf,MATCH(G81,TierCodes,0))*INDEX(Area,MATCH(G81,TierCodes,0)))</f>
        <v>2156959.68</v>
      </c>
      <c r="Q81" s="39">
        <f>INDEX(Area,MATCH(G81,TierCodes,0))*RentPsf*(E81/Fref)^RentElasticity</f>
        <v>360514.468745471</v>
      </c>
      <c r="R81" s="39">
        <f>Q81+INDEX(RunOther,MATCH(G81,TierCodes,0))+INDEX(LicPlan,MATCH(G81,TierCodes,0))</f>
        <v>871633.215412138</v>
      </c>
      <c r="S81" s="39">
        <f>(H81+R81*PaybackYears)/(ContribMargin*SumRamp)</f>
        <v>2848724.22177684</v>
      </c>
      <c r="T81" s="41">
        <f>S81/(E81*Conversion*Ticket)</f>
        <v>0.0396213834897949</v>
      </c>
      <c r="U81" s="75" t="str">
        <f>IF(S81&lt;=P81,"Yes","No")</f>
        <v>No</v>
      </c>
      <c r="V81" s="39">
        <f>(K81+R81*PaybackYears)/(ContribMargin*SumRamp)</f>
        <v>2717865.10521299</v>
      </c>
      <c r="W81" s="75" t="str">
        <f>IF(V81&lt;=P81,"Yes","No")</f>
        <v>No</v>
      </c>
      <c r="X81" s="82">
        <f>IF(MixSource="Melbourne: full store P&amp;L",IF(U81="Yes",1,0),IF(J81="Yes",1,0))</f>
        <v>1</v>
      </c>
      <c r="Y81" s="105">
        <f>X81*1000000000+E81</f>
        <v>1004493666</v>
      </c>
      <c r="Z81" s="82">
        <f>1+COUNTIFS($G$58:$G$135,G81,$Y$58:$Y$135,"&gt;"&amp;Y81)+COUNTIFS($G$58:$G$135,G81,$Y$58:$Y$135,Y81,$A$58:$A$135,"&lt;"&amp;A81)</f>
        <v>13</v>
      </c>
      <c r="AA81" s="69" t="str">
        <f>G81&amp;"|"&amp;Z81</f>
        <v>SPLUS|13</v>
      </c>
    </row>
    <row r="82">
      <c r="A82" s="102" t="n">
        <v>67</v>
      </c>
      <c r="B82" s="8" t="inlineStr">
        <is>
          <t>Flinders Ln -Degraves St (South)</t>
        </is>
      </c>
      <c r="C82" s="8" t="inlineStr">
        <is>
          <t>CBD Core / All-Day</t>
        </is>
      </c>
      <c r="D82" s="103" t="n">
        <v>12642.5876</v>
      </c>
      <c r="E82" s="103" t="n">
        <v>4445608</v>
      </c>
      <c r="F82" s="104" t="inlineStr">
        <is>
          <t>SPLUS</t>
        </is>
      </c>
      <c r="G82" s="14" t="str">
        <f>IF(D82&gt;=FlagshipBar,IF(OR(C82="Destination Retail",C82="Evening / Entertainment",C82="CBD Core / All-Day"),"SPLUS",IF(C82="Low Activity","D","S")),IF(D82&gt;=StandardBar,IF(OR(C82="Office / Weekday Core",C82="Low Activity"),"D","S"),"D"))</f>
        <v>SPLUS</v>
      </c>
      <c r="H82" s="39">
        <f>INDEX(PilotBuild,MATCH(G82,TierCodes,0))</f>
        <v>1416330</v>
      </c>
      <c r="I82" s="41">
        <f>H82/(PaybackYears*Ticket*Conversion*DashMargin)/E82</f>
        <v>0.026549236909777</v>
      </c>
      <c r="J82" s="75" t="str">
        <f>IF(I82&lt;=Capture,"Yes","No")</f>
        <v>Yes</v>
      </c>
      <c r="K82" s="39">
        <f>INDEX(AtScale,MATCH(G82,TierCodes,0))</f>
        <v>1231151.26415049</v>
      </c>
      <c r="L82" s="41">
        <f>K82/(PaybackYears*Ticket*Conversion*DashMargin)/E82</f>
        <v>0.0230780443708054</v>
      </c>
      <c r="M82" s="75" t="str">
        <f>IF(L82&lt;=Capture,"Yes","No")</f>
        <v>Yes</v>
      </c>
      <c r="N82" s="86">
        <f>INDEX(ArchFactor,MATCH(C82,ArchNames,0))</f>
        <v>1</v>
      </c>
      <c r="O82" s="41">
        <f>Capture*N82</f>
        <v>0.03</v>
      </c>
      <c r="P82" s="39">
        <f>MIN(E82*O82*Conversion*Ticket,INDEX(CapacityPsf,MATCH(G82,TierCodes,0))*INDEX(Area,MATCH(G82,TierCodes,0)))</f>
        <v>2133891.84</v>
      </c>
      <c r="Q82" s="39">
        <f>INDEX(Area,MATCH(G82,TierCodes,0))*RentPsf*(E82/Fref)^RentElasticity</f>
        <v>358388.780854881</v>
      </c>
      <c r="R82" s="39">
        <f>Q82+INDEX(RunOther,MATCH(G82,TierCodes,0))+INDEX(LicPlan,MATCH(G82,TierCodes,0))</f>
        <v>869507.527521548</v>
      </c>
      <c r="S82" s="39">
        <f>(H82+R82*PaybackYears)/(ContribMargin*SumRamp)</f>
        <v>2844217.78147456</v>
      </c>
      <c r="T82" s="41">
        <f>S82/(E82*Conversion*Ticket)</f>
        <v>0.0399863441270935</v>
      </c>
      <c r="U82" s="75" t="str">
        <f>IF(S82&lt;=P82,"Yes","No")</f>
        <v>No</v>
      </c>
      <c r="V82" s="39">
        <f>(K82+R82*PaybackYears)/(ContribMargin*SumRamp)</f>
        <v>2713358.6649107</v>
      </c>
      <c r="W82" s="75" t="str">
        <f>IF(V82&lt;=P82,"Yes","No")</f>
        <v>No</v>
      </c>
      <c r="X82" s="82">
        <f>IF(MixSource="Melbourne: full store P&amp;L",IF(U82="Yes",1,0),IF(J82="Yes",1,0))</f>
        <v>1</v>
      </c>
      <c r="Y82" s="105">
        <f>X82*1000000000+E82</f>
        <v>1004445608</v>
      </c>
      <c r="Z82" s="82">
        <f>1+COUNTIFS($G$58:$G$135,G82,$Y$58:$Y$135,"&gt;"&amp;Y82)+COUNTIFS($G$58:$G$135,G82,$Y$58:$Y$135,Y82,$A$58:$A$135,"&lt;"&amp;A82)</f>
        <v>14</v>
      </c>
      <c r="AA82" s="69" t="str">
        <f>G82&amp;"|"&amp;Z82</f>
        <v>SPLUS|14</v>
      </c>
    </row>
    <row r="83">
      <c r="A83" s="102" t="n">
        <v>162</v>
      </c>
      <c r="B83" s="8" t="inlineStr">
        <is>
          <t>iHub 489 Elizabeth Street</t>
        </is>
      </c>
      <c r="C83" s="8" t="inlineStr">
        <is>
          <t>Destination Retail</t>
        </is>
      </c>
      <c r="D83" s="103" t="n">
        <v>11003.6936</v>
      </c>
      <c r="E83" s="103" t="n">
        <v>4371980</v>
      </c>
      <c r="F83" s="104" t="inlineStr">
        <is>
          <t>S</t>
        </is>
      </c>
      <c r="G83" s="14" t="str">
        <f>IF(D83&gt;=FlagshipBar,IF(OR(C83="Destination Retail",C83="Evening / Entertainment",C83="CBD Core / All-Day"),"SPLUS",IF(C83="Low Activity","D","S")),IF(D83&gt;=StandardBar,IF(OR(C83="Office / Weekday Core",C83="Low Activity"),"D","S"),"D"))</f>
        <v>S</v>
      </c>
      <c r="H83" s="39">
        <f>INDEX(PilotBuild,MATCH(G83,TierCodes,0))</f>
        <v>799625</v>
      </c>
      <c r="I83" s="41">
        <f>H83/(PaybackYears*Ticket*Conversion*DashMargin)/E83</f>
        <v>0.0152414733522721</v>
      </c>
      <c r="J83" s="75" t="str">
        <f>IF(I83&lt;=Capture,"Yes","No")</f>
        <v>Yes</v>
      </c>
      <c r="K83" s="39">
        <f>INDEX(AtScale,MATCH(G83,TierCodes,0))</f>
        <v>682952.585715908</v>
      </c>
      <c r="L83" s="41">
        <f>K83/(PaybackYears*Ticket*Conversion*DashMargin)/E83</f>
        <v>0.0130176065481374</v>
      </c>
      <c r="M83" s="75" t="str">
        <f>IF(L83&lt;=Capture,"Yes","No")</f>
        <v>Yes</v>
      </c>
      <c r="N83" s="86">
        <f>INDEX(ArchFactor,MATCH(C83,ArchNames,0))</f>
        <v>1.2</v>
      </c>
      <c r="O83" s="41">
        <f>Capture*N83</f>
        <v>0.036</v>
      </c>
      <c r="P83" s="39">
        <f>MIN(E83*O83*Conversion*Ticket,INDEX(CapacityPsf,MATCH(G83,TierCodes,0))*INDEX(Area,MATCH(G83,TierCodes,0)))</f>
        <v>2310000</v>
      </c>
      <c r="Q83" s="39">
        <f>INDEX(Area,MATCH(G83,TierCodes,0))*RentPsf*(E83/Fref)^RentElasticity</f>
        <v>172333.728307302</v>
      </c>
      <c r="R83" s="39">
        <f>Q83+INDEX(RunOther,MATCH(G83,TierCodes,0))+INDEX(LicPlan,MATCH(G83,TierCodes,0))</f>
        <v>485469.301640635</v>
      </c>
      <c r="S83" s="39">
        <f>(H83+R83*PaybackYears)/(ContribMargin*SumRamp)</f>
        <v>1594256.87578398</v>
      </c>
      <c r="T83" s="41">
        <f>S83/(E83*Conversion*Ticket)</f>
        <v>0.0227908304101342</v>
      </c>
      <c r="U83" s="75" t="str">
        <f>IF(S83&lt;=P83,"Yes","No")</f>
        <v>Yes</v>
      </c>
      <c r="V83" s="39">
        <f>(K83+R83*PaybackYears)/(ContribMargin*SumRamp)</f>
        <v>1511808.69948259</v>
      </c>
      <c r="W83" s="75" t="str">
        <f>IF(V83&lt;=P83,"Yes","No")</f>
        <v>Yes</v>
      </c>
      <c r="X83" s="82">
        <f>IF(MixSource="Melbourne: full store P&amp;L",IF(U83="Yes",1,0),IF(J83="Yes",1,0))</f>
        <v>1</v>
      </c>
      <c r="Y83" s="105">
        <f>X83*1000000000+E83</f>
        <v>1004371980</v>
      </c>
      <c r="Z83" s="82">
        <f>1+COUNTIFS($G$58:$G$135,G83,$Y$58:$Y$135,"&gt;"&amp;Y83)+COUNTIFS($G$58:$G$135,G83,$Y$58:$Y$135,Y83,$A$58:$A$135,"&lt;"&amp;A83)</f>
        <v>12</v>
      </c>
      <c r="AA83" s="69" t="str">
        <f>G83&amp;"|"&amp;Z83</f>
        <v>S|12</v>
      </c>
    </row>
    <row r="84">
      <c r="A84" s="102" t="n">
        <v>135</v>
      </c>
      <c r="B84" s="8" t="inlineStr">
        <is>
          <t>I-Hub Southern Cross Station - Bourke Street Entrance - South</t>
        </is>
      </c>
      <c r="C84" s="8" t="inlineStr">
        <is>
          <t>CBD Core / All-Day</t>
        </is>
      </c>
      <c r="D84" s="103" t="n">
        <v>11439.0252</v>
      </c>
      <c r="E84" s="103" t="n">
        <v>4172608</v>
      </c>
      <c r="F84" s="104" t="inlineStr">
        <is>
          <t>S</t>
        </is>
      </c>
      <c r="G84" s="14" t="str">
        <f>IF(D84&gt;=FlagshipBar,IF(OR(C84="Destination Retail",C84="Evening / Entertainment",C84="CBD Core / All-Day"),"SPLUS",IF(C84="Low Activity","D","S")),IF(D84&gt;=StandardBar,IF(OR(C84="Office / Weekday Core",C84="Low Activity"),"D","S"),"D"))</f>
        <v>S</v>
      </c>
      <c r="H84" s="39">
        <f>INDEX(PilotBuild,MATCH(G84,TierCodes,0))</f>
        <v>799625</v>
      </c>
      <c r="I84" s="41">
        <f>H84/(PaybackYears*Ticket*Conversion*DashMargin)/E84</f>
        <v>0.015969728444816</v>
      </c>
      <c r="J84" s="75" t="str">
        <f>IF(I84&lt;=Capture,"Yes","No")</f>
        <v>Yes</v>
      </c>
      <c r="K84" s="39">
        <f>INDEX(AtScale,MATCH(G84,TierCodes,0))</f>
        <v>682952.585715908</v>
      </c>
      <c r="L84" s="41">
        <f>K84/(PaybackYears*Ticket*Conversion*DashMargin)/E84</f>
        <v>0.0136396027319906</v>
      </c>
      <c r="M84" s="75" t="str">
        <f>IF(L84&lt;=Capture,"Yes","No")</f>
        <v>Yes</v>
      </c>
      <c r="N84" s="86">
        <f>INDEX(ArchFactor,MATCH(C84,ArchNames,0))</f>
        <v>1</v>
      </c>
      <c r="O84" s="41">
        <f>Capture*N84</f>
        <v>0.03</v>
      </c>
      <c r="P84" s="39">
        <f>MIN(E84*O84*Conversion*Ticket,INDEX(CapacityPsf,MATCH(G84,TierCodes,0))*INDEX(Area,MATCH(G84,TierCodes,0)))</f>
        <v>2002851.84</v>
      </c>
      <c r="Q84" s="39">
        <f>INDEX(Area,MATCH(G84,TierCodes,0))*RentPsf*(E84/Fref)^RentElasticity</f>
        <v>167966.032773687</v>
      </c>
      <c r="R84" s="39">
        <f>Q84+INDEX(RunOther,MATCH(G84,TierCodes,0))+INDEX(LicPlan,MATCH(G84,TierCodes,0))</f>
        <v>481101.60610702</v>
      </c>
      <c r="S84" s="39">
        <f>(H84+R84*PaybackYears)/(ContribMargin*SumRamp)</f>
        <v>1584997.39829062</v>
      </c>
      <c r="T84" s="41">
        <f>S84/(E84*Conversion*Ticket)</f>
        <v>0.0237411080535636</v>
      </c>
      <c r="U84" s="75" t="str">
        <f>IF(S84&lt;=P84,"Yes","No")</f>
        <v>Yes</v>
      </c>
      <c r="V84" s="39">
        <f>(K84+R84*PaybackYears)/(ContribMargin*SumRamp)</f>
        <v>1502549.22198924</v>
      </c>
      <c r="W84" s="75" t="str">
        <f>IF(V84&lt;=P84,"Yes","No")</f>
        <v>Yes</v>
      </c>
      <c r="X84" s="82">
        <f>IF(MixSource="Melbourne: full store P&amp;L",IF(U84="Yes",1,0),IF(J84="Yes",1,0))</f>
        <v>1</v>
      </c>
      <c r="Y84" s="105">
        <f>X84*1000000000+E84</f>
        <v>1004172608</v>
      </c>
      <c r="Z84" s="82">
        <f>1+COUNTIFS($G$58:$G$135,G84,$Y$58:$Y$135,"&gt;"&amp;Y84)+COUNTIFS($G$58:$G$135,G84,$Y$58:$Y$135,Y84,$A$58:$A$135,"&lt;"&amp;A84)</f>
        <v>13</v>
      </c>
      <c r="AA84" s="69" t="str">
        <f>G84&amp;"|"&amp;Z84</f>
        <v>S|13</v>
      </c>
    </row>
    <row r="85">
      <c r="A85" s="102" t="n">
        <v>108</v>
      </c>
      <c r="B85" s="8" t="inlineStr">
        <is>
          <t>William St - Little Lonsdale St (West)</t>
        </is>
      </c>
      <c r="C85" s="8" t="inlineStr">
        <is>
          <t>Commuter Corridor</t>
        </is>
      </c>
      <c r="D85" s="103" t="n">
        <v>13385.9079</v>
      </c>
      <c r="E85" s="103" t="n">
        <v>3908858</v>
      </c>
      <c r="F85" s="104" t="inlineStr">
        <is>
          <t>S</t>
        </is>
      </c>
      <c r="G85" s="14" t="str">
        <f>IF(D85&gt;=FlagshipBar,IF(OR(C85="Destination Retail",C85="Evening / Entertainment",C85="CBD Core / All-Day"),"SPLUS",IF(C85="Low Activity","D","S")),IF(D85&gt;=StandardBar,IF(OR(C85="Office / Weekday Core",C85="Low Activity"),"D","S"),"D"))</f>
        <v>S</v>
      </c>
      <c r="H85" s="39">
        <f>INDEX(PilotBuild,MATCH(G85,TierCodes,0))</f>
        <v>799625</v>
      </c>
      <c r="I85" s="41">
        <f>H85/(PaybackYears*Ticket*Conversion*DashMargin)/E85</f>
        <v>0.017047285080877</v>
      </c>
      <c r="J85" s="75" t="str">
        <f>IF(I85&lt;=Capture,"Yes","No")</f>
        <v>Yes</v>
      </c>
      <c r="K85" s="39">
        <f>INDEX(AtScale,MATCH(G85,TierCodes,0))</f>
        <v>682952.585715908</v>
      </c>
      <c r="L85" s="41">
        <f>K85/(PaybackYears*Ticket*Conversion*DashMargin)/E85</f>
        <v>0.0145599342509566</v>
      </c>
      <c r="M85" s="75" t="str">
        <f>IF(L85&lt;=Capture,"Yes","No")</f>
        <v>Yes</v>
      </c>
      <c r="N85" s="86">
        <f>INDEX(ArchFactor,MATCH(C85,ArchNames,0))</f>
        <v>0.5</v>
      </c>
      <c r="O85" s="41">
        <f>Capture*N85</f>
        <v>0.015</v>
      </c>
      <c r="P85" s="39">
        <f>MIN(E85*O85*Conversion*Ticket,INDEX(CapacityPsf,MATCH(G85,TierCodes,0))*INDEX(Area,MATCH(G85,TierCodes,0)))</f>
        <v>938125.92</v>
      </c>
      <c r="Q85" s="39">
        <f>INDEX(Area,MATCH(G85,TierCodes,0))*RentPsf*(E85/Fref)^RentElasticity</f>
        <v>162040.932480383</v>
      </c>
      <c r="R85" s="39">
        <f>Q85+INDEX(RunOther,MATCH(G85,TierCodes,0))+INDEX(LicPlan,MATCH(G85,TierCodes,0))</f>
        <v>475176.505813717</v>
      </c>
      <c r="S85" s="39">
        <f>(H85+R85*PaybackYears)/(ContribMargin*SumRamp)</f>
        <v>1572436.23591347</v>
      </c>
      <c r="T85" s="41">
        <f>S85/(E85*Conversion*Ticket)</f>
        <v>0.0251421936393166</v>
      </c>
      <c r="U85" s="75" t="str">
        <f>IF(S85&lt;=P85,"Yes","No")</f>
        <v>No</v>
      </c>
      <c r="V85" s="39">
        <f>(K85+R85*PaybackYears)/(ContribMargin*SumRamp)</f>
        <v>1489988.05961208</v>
      </c>
      <c r="W85" s="75" t="str">
        <f>IF(V85&lt;=P85,"Yes","No")</f>
        <v>No</v>
      </c>
      <c r="X85" s="82">
        <f>IF(MixSource="Melbourne: full store P&amp;L",IF(U85="Yes",1,0),IF(J85="Yes",1,0))</f>
        <v>1</v>
      </c>
      <c r="Y85" s="105">
        <f>X85*1000000000+E85</f>
        <v>1003908858</v>
      </c>
      <c r="Z85" s="82">
        <f>1+COUNTIFS($G$58:$G$135,G85,$Y$58:$Y$135,"&gt;"&amp;Y85)+COUNTIFS($G$58:$G$135,G85,$Y$58:$Y$135,Y85,$A$58:$A$135,"&lt;"&amp;A85)</f>
        <v>14</v>
      </c>
      <c r="AA85" s="69" t="str">
        <f>G85&amp;"|"&amp;Z85</f>
        <v>S|14</v>
      </c>
    </row>
    <row r="86">
      <c r="A86" s="102" t="n">
        <v>63</v>
      </c>
      <c r="B86" s="8" t="inlineStr">
        <is>
          <t>231 Bourke St</t>
        </is>
      </c>
      <c r="C86" s="8" t="inlineStr">
        <is>
          <t>CBD Core / All-Day</t>
        </is>
      </c>
      <c r="D86" s="103" t="n">
        <v>10253.0121</v>
      </c>
      <c r="E86" s="103" t="n">
        <v>3804040</v>
      </c>
      <c r="F86" s="104" t="inlineStr">
        <is>
          <t>S</t>
        </is>
      </c>
      <c r="G86" s="14" t="str">
        <f>IF(D86&gt;=FlagshipBar,IF(OR(C86="Destination Retail",C86="Evening / Entertainment",C86="CBD Core / All-Day"),"SPLUS",IF(C86="Low Activity","D","S")),IF(D86&gt;=StandardBar,IF(OR(C86="Office / Weekday Core",C86="Low Activity"),"D","S"),"D"))</f>
        <v>S</v>
      </c>
      <c r="H86" s="39">
        <f>INDEX(PilotBuild,MATCH(G86,TierCodes,0))</f>
        <v>799625</v>
      </c>
      <c r="I86" s="41">
        <f>H86/(PaybackYears*Ticket*Conversion*DashMargin)/E86</f>
        <v>0.0175170126146588</v>
      </c>
      <c r="J86" s="75" t="str">
        <f>IF(I86&lt;=Capture,"Yes","No")</f>
        <v>Yes</v>
      </c>
      <c r="K86" s="39">
        <f>INDEX(AtScale,MATCH(G86,TierCodes,0))</f>
        <v>682952.585715908</v>
      </c>
      <c r="L86" s="41">
        <f>K86/(PaybackYears*Ticket*Conversion*DashMargin)/E86</f>
        <v>0.0149611243510388</v>
      </c>
      <c r="M86" s="75" t="str">
        <f>IF(L86&lt;=Capture,"Yes","No")</f>
        <v>Yes</v>
      </c>
      <c r="N86" s="86">
        <f>INDEX(ArchFactor,MATCH(C86,ArchNames,0))</f>
        <v>1</v>
      </c>
      <c r="O86" s="41">
        <f>Capture*N86</f>
        <v>0.03</v>
      </c>
      <c r="P86" s="39">
        <f>MIN(E86*O86*Conversion*Ticket,INDEX(CapacityPsf,MATCH(G86,TierCodes,0))*INDEX(Area,MATCH(G86,TierCodes,0)))</f>
        <v>1825939.2</v>
      </c>
      <c r="Q86" s="39">
        <f>INDEX(Area,MATCH(G86,TierCodes,0))*RentPsf*(E86/Fref)^RentElasticity</f>
        <v>159636.458082801</v>
      </c>
      <c r="R86" s="39">
        <f>Q86+INDEX(RunOther,MATCH(G86,TierCodes,0))+INDEX(LicPlan,MATCH(G86,TierCodes,0))</f>
        <v>472772.031416135</v>
      </c>
      <c r="S86" s="39">
        <f>(H86+R86*PaybackYears)/(ContribMargin*SumRamp)</f>
        <v>1567338.77058046</v>
      </c>
      <c r="T86" s="41">
        <f>S86/(E86*Conversion*Ticket)</f>
        <v>0.0257512205868704</v>
      </c>
      <c r="U86" s="75" t="str">
        <f>IF(S86&lt;=P86,"Yes","No")</f>
        <v>Yes</v>
      </c>
      <c r="V86" s="39">
        <f>(K86+R86*PaybackYears)/(ContribMargin*SumRamp)</f>
        <v>1484890.59427907</v>
      </c>
      <c r="W86" s="75" t="str">
        <f>IF(V86&lt;=P86,"Yes","No")</f>
        <v>Yes</v>
      </c>
      <c r="X86" s="82">
        <f>IF(MixSource="Melbourne: full store P&amp;L",IF(U86="Yes",1,0),IF(J86="Yes",1,0))</f>
        <v>1</v>
      </c>
      <c r="Y86" s="105">
        <f>X86*1000000000+E86</f>
        <v>1003804040</v>
      </c>
      <c r="Z86" s="82">
        <f>1+COUNTIFS($G$58:$G$135,G86,$Y$58:$Y$135,"&gt;"&amp;Y86)+COUNTIFS($G$58:$G$135,G86,$Y$58:$Y$135,Y86,$A$58:$A$135,"&lt;"&amp;A86)</f>
        <v>15</v>
      </c>
      <c r="AA86" s="69" t="str">
        <f>G86&amp;"|"&amp;Z86</f>
        <v>S|15</v>
      </c>
    </row>
    <row r="87">
      <c r="A87" s="102" t="n">
        <v>56</v>
      </c>
      <c r="B87" s="8" t="inlineStr">
        <is>
          <t>Lonsdale St - Elizabeth St (North)</t>
        </is>
      </c>
      <c r="C87" s="8" t="inlineStr">
        <is>
          <t>Evening / Entertainment</t>
        </is>
      </c>
      <c r="D87" s="103" t="n">
        <v>9997.825800000001</v>
      </c>
      <c r="E87" s="103" t="n">
        <v>3772690</v>
      </c>
      <c r="F87" s="104" t="inlineStr">
        <is>
          <t>S</t>
        </is>
      </c>
      <c r="G87" s="14" t="str">
        <f>IF(D87&gt;=FlagshipBar,IF(OR(C87="Destination Retail",C87="Evening / Entertainment",C87="CBD Core / All-Day"),"SPLUS",IF(C87="Low Activity","D","S")),IF(D87&gt;=StandardBar,IF(OR(C87="Office / Weekday Core",C87="Low Activity"),"D","S"),"D"))</f>
        <v>S</v>
      </c>
      <c r="H87" s="39">
        <f>INDEX(PilotBuild,MATCH(G87,TierCodes,0))</f>
        <v>799625</v>
      </c>
      <c r="I87" s="41">
        <f>H87/(PaybackYears*Ticket*Conversion*DashMargin)/E87</f>
        <v>0.0176625740961136</v>
      </c>
      <c r="J87" s="75" t="str">
        <f>IF(I87&lt;=Capture,"Yes","No")</f>
        <v>Yes</v>
      </c>
      <c r="K87" s="39">
        <f>INDEX(AtScale,MATCH(G87,TierCodes,0))</f>
        <v>682952.585715908</v>
      </c>
      <c r="L87" s="41">
        <f>K87/(PaybackYears*Ticket*Conversion*DashMargin)/E87</f>
        <v>0.0150854471150096</v>
      </c>
      <c r="M87" s="75" t="str">
        <f>IF(L87&lt;=Capture,"Yes","No")</f>
        <v>Yes</v>
      </c>
      <c r="N87" s="86">
        <f>INDEX(ArchFactor,MATCH(C87,ArchNames,0))</f>
        <v>1.1</v>
      </c>
      <c r="O87" s="41">
        <f>Capture*N87</f>
        <v>0.033</v>
      </c>
      <c r="P87" s="39">
        <f>MIN(E87*O87*Conversion*Ticket,INDEX(CapacityPsf,MATCH(G87,TierCodes,0))*INDEX(Area,MATCH(G87,TierCodes,0)))</f>
        <v>1991980.32</v>
      </c>
      <c r="Q87" s="39">
        <f>INDEX(Area,MATCH(G87,TierCodes,0))*RentPsf*(E87/Fref)^RentElasticity</f>
        <v>158911.529842654</v>
      </c>
      <c r="R87" s="39">
        <f>Q87+INDEX(RunOther,MATCH(G87,TierCodes,0))+INDEX(LicPlan,MATCH(G87,TierCodes,0))</f>
        <v>472047.103175987</v>
      </c>
      <c r="S87" s="39">
        <f>(H87+R87*PaybackYears)/(ContribMargin*SumRamp)</f>
        <v>1565801.92885871</v>
      </c>
      <c r="T87" s="41">
        <f>S87/(E87*Conversion*Ticket)</f>
        <v>0.0259397460574999</v>
      </c>
      <c r="U87" s="75" t="str">
        <f>IF(S87&lt;=P87,"Yes","No")</f>
        <v>Yes</v>
      </c>
      <c r="V87" s="39">
        <f>(K87+R87*PaybackYears)/(ContribMargin*SumRamp)</f>
        <v>1483353.75255732</v>
      </c>
      <c r="W87" s="75" t="str">
        <f>IF(V87&lt;=P87,"Yes","No")</f>
        <v>Yes</v>
      </c>
      <c r="X87" s="82">
        <f>IF(MixSource="Melbourne: full store P&amp;L",IF(U87="Yes",1,0),IF(J87="Yes",1,0))</f>
        <v>1</v>
      </c>
      <c r="Y87" s="105">
        <f>X87*1000000000+E87</f>
        <v>1003772690</v>
      </c>
      <c r="Z87" s="82">
        <f>1+COUNTIFS($G$58:$G$135,G87,$Y$58:$Y$135,"&gt;"&amp;Y87)+COUNTIFS($G$58:$G$135,G87,$Y$58:$Y$135,Y87,$A$58:$A$135,"&lt;"&amp;A87)</f>
        <v>16</v>
      </c>
      <c r="AA87" s="69" t="str">
        <f>G87&amp;"|"&amp;Z87</f>
        <v>S|16</v>
      </c>
    </row>
    <row r="88">
      <c r="A88" s="102" t="n">
        <v>30</v>
      </c>
      <c r="B88" s="8" t="inlineStr">
        <is>
          <t>Lonsdale St (South)</t>
        </is>
      </c>
      <c r="C88" s="8" t="inlineStr">
        <is>
          <t>Evening / Entertainment</t>
        </is>
      </c>
      <c r="D88" s="103" t="n">
        <v>9317.6577</v>
      </c>
      <c r="E88" s="103" t="n">
        <v>3749331</v>
      </c>
      <c r="F88" s="104" t="inlineStr">
        <is>
          <t>S</t>
        </is>
      </c>
      <c r="G88" s="14" t="str">
        <f>IF(D88&gt;=FlagshipBar,IF(OR(C88="Destination Retail",C88="Evening / Entertainment",C88="CBD Core / All-Day"),"SPLUS",IF(C88="Low Activity","D","S")),IF(D88&gt;=StandardBar,IF(OR(C88="Office / Weekday Core",C88="Low Activity"),"D","S"),"D"))</f>
        <v>S</v>
      </c>
      <c r="H88" s="39">
        <f>INDEX(PilotBuild,MATCH(G88,TierCodes,0))</f>
        <v>799625</v>
      </c>
      <c r="I88" s="41">
        <f>H88/(PaybackYears*Ticket*Conversion*DashMargin)/E88</f>
        <v>0.0177726150789745</v>
      </c>
      <c r="J88" s="75" t="str">
        <f>IF(I88&lt;=Capture,"Yes","No")</f>
        <v>Yes</v>
      </c>
      <c r="K88" s="39">
        <f>INDEX(AtScale,MATCH(G88,TierCodes,0))</f>
        <v>682952.585715908</v>
      </c>
      <c r="L88" s="41">
        <f>K88/(PaybackYears*Ticket*Conversion*DashMargin)/E88</f>
        <v>0.0151794321377135</v>
      </c>
      <c r="M88" s="75" t="str">
        <f>IF(L88&lt;=Capture,"Yes","No")</f>
        <v>Yes</v>
      </c>
      <c r="N88" s="86">
        <f>INDEX(ArchFactor,MATCH(C88,ArchNames,0))</f>
        <v>1.1</v>
      </c>
      <c r="O88" s="41">
        <f>Capture*N88</f>
        <v>0.033</v>
      </c>
      <c r="P88" s="39">
        <f>MIN(E88*O88*Conversion*Ticket,INDEX(CapacityPsf,MATCH(G88,TierCodes,0))*INDEX(Area,MATCH(G88,TierCodes,0)))</f>
        <v>1979646.768</v>
      </c>
      <c r="Q88" s="39">
        <f>INDEX(Area,MATCH(G88,TierCodes,0))*RentPsf*(E88/Fref)^RentElasticity</f>
        <v>158369.6192526</v>
      </c>
      <c r="R88" s="39">
        <f>Q88+INDEX(RunOther,MATCH(G88,TierCodes,0))+INDEX(LicPlan,MATCH(G88,TierCodes,0))</f>
        <v>471505.192585933</v>
      </c>
      <c r="S88" s="39">
        <f>(H88+R88*PaybackYears)/(ContribMargin*SumRamp)</f>
        <v>1564653.08300318</v>
      </c>
      <c r="T88" s="41">
        <f>S88/(E88*Conversion*Ticket)</f>
        <v>0.02608220444866</v>
      </c>
      <c r="U88" s="75" t="str">
        <f>IF(S88&lt;=P88,"Yes","No")</f>
        <v>Yes</v>
      </c>
      <c r="V88" s="39">
        <f>(K88+R88*PaybackYears)/(ContribMargin*SumRamp)</f>
        <v>1482204.90670179</v>
      </c>
      <c r="W88" s="75" t="str">
        <f>IF(V88&lt;=P88,"Yes","No")</f>
        <v>Yes</v>
      </c>
      <c r="X88" s="82">
        <f>IF(MixSource="Melbourne: full store P&amp;L",IF(U88="Yes",1,0),IF(J88="Yes",1,0))</f>
        <v>1</v>
      </c>
      <c r="Y88" s="105">
        <f>X88*1000000000+E88</f>
        <v>1003749331</v>
      </c>
      <c r="Z88" s="82">
        <f>1+COUNTIFS($G$58:$G$135,G88,$Y$58:$Y$135,"&gt;"&amp;Y88)+COUNTIFS($G$58:$G$135,G88,$Y$58:$Y$135,Y88,$A$58:$A$135,"&lt;"&amp;A88)</f>
        <v>17</v>
      </c>
      <c r="AA88" s="69" t="str">
        <f>G88&amp;"|"&amp;Z88</f>
        <v>S|17</v>
      </c>
    </row>
    <row r="89">
      <c r="A89" s="102" t="n">
        <v>21</v>
      </c>
      <c r="B89" s="8" t="inlineStr">
        <is>
          <t>155-161 Russell Street</t>
        </is>
      </c>
      <c r="C89" s="8" t="inlineStr">
        <is>
          <t>Destination Retail</t>
        </is>
      </c>
      <c r="D89" s="103" t="n">
        <v>9121.763000000001</v>
      </c>
      <c r="E89" s="103" t="n">
        <v>3551533</v>
      </c>
      <c r="F89" s="104" t="inlineStr">
        <is>
          <t>S</t>
        </is>
      </c>
      <c r="G89" s="14" t="str">
        <f>IF(D89&gt;=FlagshipBar,IF(OR(C89="Destination Retail",C89="Evening / Entertainment",C89="CBD Core / All-Day"),"SPLUS",IF(C89="Low Activity","D","S")),IF(D89&gt;=StandardBar,IF(OR(C89="Office / Weekday Core",C89="Low Activity"),"D","S"),"D"))</f>
        <v>S</v>
      </c>
      <c r="H89" s="39">
        <f>INDEX(PilotBuild,MATCH(G89,TierCodes,0))</f>
        <v>799625</v>
      </c>
      <c r="I89" s="41">
        <f>H89/(PaybackYears*Ticket*Conversion*DashMargin)/E89</f>
        <v>0.0187624377041313</v>
      </c>
      <c r="J89" s="75" t="str">
        <f>IF(I89&lt;=Capture,"Yes","No")</f>
        <v>Yes</v>
      </c>
      <c r="K89" s="39">
        <f>INDEX(AtScale,MATCH(G89,TierCodes,0))</f>
        <v>682952.585715908</v>
      </c>
      <c r="L89" s="41">
        <f>K89/(PaybackYears*Ticket*Conversion*DashMargin)/E89</f>
        <v>0.0160248308199095</v>
      </c>
      <c r="M89" s="75" t="str">
        <f>IF(L89&lt;=Capture,"Yes","No")</f>
        <v>Yes</v>
      </c>
      <c r="N89" s="86">
        <f>INDEX(ArchFactor,MATCH(C89,ArchNames,0))</f>
        <v>1.2</v>
      </c>
      <c r="O89" s="41">
        <f>Capture*N89</f>
        <v>0.036</v>
      </c>
      <c r="P89" s="39">
        <f>MIN(E89*O89*Conversion*Ticket,INDEX(CapacityPsf,MATCH(G89,TierCodes,0))*INDEX(Area,MATCH(G89,TierCodes,0)))</f>
        <v>2045683.008</v>
      </c>
      <c r="Q89" s="39">
        <f>INDEX(Area,MATCH(G89,TierCodes,0))*RentPsf*(E89/Fref)^RentElasticity</f>
        <v>153718.455444125</v>
      </c>
      <c r="R89" s="39">
        <f>Q89+INDEX(RunOther,MATCH(G89,TierCodes,0))+INDEX(LicPlan,MATCH(G89,TierCodes,0))</f>
        <v>466854.028777458</v>
      </c>
      <c r="S89" s="39">
        <f>(H89+R89*PaybackYears)/(ContribMargin*SumRamp)</f>
        <v>1554792.65517092</v>
      </c>
      <c r="T89" s="41">
        <f>S89/(E89*Conversion*Ticket)</f>
        <v>0.0273612946713948</v>
      </c>
      <c r="U89" s="75" t="str">
        <f>IF(S89&lt;=P89,"Yes","No")</f>
        <v>Yes</v>
      </c>
      <c r="V89" s="39">
        <f>(K89+R89*PaybackYears)/(ContribMargin*SumRamp)</f>
        <v>1472344.47886954</v>
      </c>
      <c r="W89" s="75" t="str">
        <f>IF(V89&lt;=P89,"Yes","No")</f>
        <v>Yes</v>
      </c>
      <c r="X89" s="82">
        <f>IF(MixSource="Melbourne: full store P&amp;L",IF(U89="Yes",1,0),IF(J89="Yes",1,0))</f>
        <v>1</v>
      </c>
      <c r="Y89" s="105">
        <f>X89*1000000000+E89</f>
        <v>1003551533</v>
      </c>
      <c r="Z89" s="82">
        <f>1+COUNTIFS($G$58:$G$135,G89,$Y$58:$Y$135,"&gt;"&amp;Y89)+COUNTIFS($G$58:$G$135,G89,$Y$58:$Y$135,Y89,$A$58:$A$135,"&lt;"&amp;A89)</f>
        <v>18</v>
      </c>
      <c r="AA89" s="69" t="str">
        <f>G89&amp;"|"&amp;Z89</f>
        <v>S|18</v>
      </c>
    </row>
    <row r="90">
      <c r="A90" s="102" t="n">
        <v>6</v>
      </c>
      <c r="B90" s="8" t="inlineStr">
        <is>
          <t>Flinders Underpass - Myki Barriers</t>
        </is>
      </c>
      <c r="C90" s="8" t="inlineStr">
        <is>
          <t>Commuter Corridor</t>
        </is>
      </c>
      <c r="D90" s="103" t="n">
        <v>10873.5208</v>
      </c>
      <c r="E90" s="103" t="n">
        <v>3537575</v>
      </c>
      <c r="F90" s="104" t="inlineStr">
        <is>
          <t>S</t>
        </is>
      </c>
      <c r="G90" s="14" t="str">
        <f>IF(D90&gt;=FlagshipBar,IF(OR(C90="Destination Retail",C90="Evening / Entertainment",C90="CBD Core / All-Day"),"SPLUS",IF(C90="Low Activity","D","S")),IF(D90&gt;=StandardBar,IF(OR(C90="Office / Weekday Core",C90="Low Activity"),"D","S"),"D"))</f>
        <v>S</v>
      </c>
      <c r="H90" s="39">
        <f>INDEX(PilotBuild,MATCH(G90,TierCodes,0))</f>
        <v>799625</v>
      </c>
      <c r="I90" s="41">
        <f>H90/(PaybackYears*Ticket*Conversion*DashMargin)/E90</f>
        <v>0.018836467542502</v>
      </c>
      <c r="J90" s="75" t="str">
        <f>IF(I90&lt;=Capture,"Yes","No")</f>
        <v>Yes</v>
      </c>
      <c r="K90" s="39">
        <f>INDEX(AtScale,MATCH(G90,TierCodes,0))</f>
        <v>682952.585715908</v>
      </c>
      <c r="L90" s="41">
        <f>K90/(PaybackYears*Ticket*Conversion*DashMargin)/E90</f>
        <v>0.0160880590450593</v>
      </c>
      <c r="M90" s="75" t="str">
        <f>IF(L90&lt;=Capture,"Yes","No")</f>
        <v>Yes</v>
      </c>
      <c r="N90" s="86">
        <f>INDEX(ArchFactor,MATCH(C90,ArchNames,0))</f>
        <v>0.5</v>
      </c>
      <c r="O90" s="41">
        <f>Capture*N90</f>
        <v>0.015</v>
      </c>
      <c r="P90" s="39">
        <f>MIN(E90*O90*Conversion*Ticket,INDEX(CapacityPsf,MATCH(G90,TierCodes,0))*INDEX(Area,MATCH(G90,TierCodes,0)))</f>
        <v>849018</v>
      </c>
      <c r="Q90" s="39">
        <f>INDEX(Area,MATCH(G90,TierCodes,0))*RentPsf*(E90/Fref)^RentElasticity</f>
        <v>153385.887305249</v>
      </c>
      <c r="R90" s="39">
        <f>Q90+INDEX(RunOther,MATCH(G90,TierCodes,0))+INDEX(LicPlan,MATCH(G90,TierCodes,0))</f>
        <v>466521.460638582</v>
      </c>
      <c r="S90" s="39">
        <f>(H90+R90*PaybackYears)/(ContribMargin*SumRamp)</f>
        <v>1554087.61353667</v>
      </c>
      <c r="T90" s="41">
        <f>S90/(E90*Conversion*Ticket)</f>
        <v>0.0274567962081488</v>
      </c>
      <c r="U90" s="75" t="str">
        <f>IF(S90&lt;=P90,"Yes","No")</f>
        <v>No</v>
      </c>
      <c r="V90" s="39">
        <f>(K90+R90*PaybackYears)/(ContribMargin*SumRamp)</f>
        <v>1471639.43723529</v>
      </c>
      <c r="W90" s="75" t="str">
        <f>IF(V90&lt;=P90,"Yes","No")</f>
        <v>No</v>
      </c>
      <c r="X90" s="82">
        <f>IF(MixSource="Melbourne: full store P&amp;L",IF(U90="Yes",1,0),IF(J90="Yes",1,0))</f>
        <v>1</v>
      </c>
      <c r="Y90" s="105">
        <f>X90*1000000000+E90</f>
        <v>1003537575</v>
      </c>
      <c r="Z90" s="82">
        <f>1+COUNTIFS($G$58:$G$135,G90,$Y$58:$Y$135,"&gt;"&amp;Y90)+COUNTIFS($G$58:$G$135,G90,$Y$58:$Y$135,Y90,$A$58:$A$135,"&lt;"&amp;A90)</f>
        <v>19</v>
      </c>
      <c r="AA90" s="69" t="str">
        <f>G90&amp;"|"&amp;Z90</f>
        <v>S|19</v>
      </c>
    </row>
    <row r="91">
      <c r="A91" s="102" t="n">
        <v>29</v>
      </c>
      <c r="B91" s="8" t="inlineStr">
        <is>
          <t>St Kilda Rd-Alexandra Gardens</t>
        </is>
      </c>
      <c r="C91" s="8" t="inlineStr">
        <is>
          <t>Destination Retail</t>
        </is>
      </c>
      <c r="D91" s="103" t="n">
        <v>8186.6374</v>
      </c>
      <c r="E91" s="103" t="n">
        <v>3358011</v>
      </c>
      <c r="F91" s="104" t="inlineStr">
        <is>
          <t>S</t>
        </is>
      </c>
      <c r="G91" s="14" t="str">
        <f>IF(D91&gt;=FlagshipBar,IF(OR(C91="Destination Retail",C91="Evening / Entertainment",C91="CBD Core / All-Day"),"SPLUS",IF(C91="Low Activity","D","S")),IF(D91&gt;=StandardBar,IF(OR(C91="Office / Weekday Core",C91="Low Activity"),"D","S"),"D"))</f>
        <v>S</v>
      </c>
      <c r="H91" s="39">
        <f>INDEX(PilotBuild,MATCH(G91,TierCodes,0))</f>
        <v>799625</v>
      </c>
      <c r="I91" s="41">
        <f>H91/(PaybackYears*Ticket*Conversion*DashMargin)/E91</f>
        <v>0.0198437160172098</v>
      </c>
      <c r="J91" s="75" t="str">
        <f>IF(I91&lt;=Capture,"Yes","No")</f>
        <v>Yes</v>
      </c>
      <c r="K91" s="39">
        <f>INDEX(AtScale,MATCH(G91,TierCodes,0))</f>
        <v>682952.585715908</v>
      </c>
      <c r="L91" s="41">
        <f>K91/(PaybackYears*Ticket*Conversion*DashMargin)/E91</f>
        <v>0.0169483409900461</v>
      </c>
      <c r="M91" s="75" t="str">
        <f>IF(L91&lt;=Capture,"Yes","No")</f>
        <v>Yes</v>
      </c>
      <c r="N91" s="86">
        <f>INDEX(ArchFactor,MATCH(C91,ArchNames,0))</f>
        <v>1.2</v>
      </c>
      <c r="O91" s="41">
        <f>Capture*N91</f>
        <v>0.036</v>
      </c>
      <c r="P91" s="39">
        <f>MIN(E91*O91*Conversion*Ticket,INDEX(CapacityPsf,MATCH(G91,TierCodes,0))*INDEX(Area,MATCH(G91,TierCodes,0)))</f>
        <v>1934214.336</v>
      </c>
      <c r="Q91" s="39">
        <f>INDEX(Area,MATCH(G91,TierCodes,0))*RentPsf*(E91/Fref)^RentElasticity</f>
        <v>149053.594965579</v>
      </c>
      <c r="R91" s="39">
        <f>Q91+INDEX(RunOther,MATCH(G91,TierCodes,0))+INDEX(LicPlan,MATCH(G91,TierCodes,0))</f>
        <v>462189.168298912</v>
      </c>
      <c r="S91" s="39">
        <f>(H91+R91*PaybackYears)/(ContribMargin*SumRamp)</f>
        <v>1544903.19051427</v>
      </c>
      <c r="T91" s="41">
        <f>S91/(E91*Conversion*Ticket)</f>
        <v>0.0287540598905547</v>
      </c>
      <c r="U91" s="75" t="str">
        <f>IF(S91&lt;=P91,"Yes","No")</f>
        <v>Yes</v>
      </c>
      <c r="V91" s="39">
        <f>(K91+R91*PaybackYears)/(ContribMargin*SumRamp)</f>
        <v>1462455.01421288</v>
      </c>
      <c r="W91" s="75" t="str">
        <f>IF(V91&lt;=P91,"Yes","No")</f>
        <v>Yes</v>
      </c>
      <c r="X91" s="82">
        <f>IF(MixSource="Melbourne: full store P&amp;L",IF(U91="Yes",1,0),IF(J91="Yes",1,0))</f>
        <v>1</v>
      </c>
      <c r="Y91" s="105">
        <f>X91*1000000000+E91</f>
        <v>1003358011</v>
      </c>
      <c r="Z91" s="82">
        <f>1+COUNTIFS($G$58:$G$135,G91,$Y$58:$Y$135,"&gt;"&amp;Y91)+COUNTIFS($G$58:$G$135,G91,$Y$58:$Y$135,Y91,$A$58:$A$135,"&lt;"&amp;A91)</f>
        <v>20</v>
      </c>
      <c r="AA91" s="69" t="str">
        <f>G91&amp;"|"&amp;Z91</f>
        <v>S|20</v>
      </c>
    </row>
    <row r="92">
      <c r="A92" s="102" t="n">
        <v>17</v>
      </c>
      <c r="B92" s="8" t="inlineStr">
        <is>
          <t>Collins Place (South)</t>
        </is>
      </c>
      <c r="C92" s="8" t="inlineStr">
        <is>
          <t>Commuter Corridor</t>
        </is>
      </c>
      <c r="D92" s="103" t="n">
        <v>10836.0231</v>
      </c>
      <c r="E92" s="103" t="n">
        <v>3260646</v>
      </c>
      <c r="F92" s="104" t="inlineStr">
        <is>
          <t>S</t>
        </is>
      </c>
      <c r="G92" s="14" t="str">
        <f>IF(D92&gt;=FlagshipBar,IF(OR(C92="Destination Retail",C92="Evening / Entertainment",C92="CBD Core / All-Day"),"SPLUS",IF(C92="Low Activity","D","S")),IF(D92&gt;=StandardBar,IF(OR(C92="Office / Weekday Core",C92="Low Activity"),"D","S"),"D"))</f>
        <v>S</v>
      </c>
      <c r="H92" s="39">
        <f>INDEX(PilotBuild,MATCH(G92,TierCodes,0))</f>
        <v>799625</v>
      </c>
      <c r="I92" s="41">
        <f>H92/(PaybackYears*Ticket*Conversion*DashMargin)/E92</f>
        <v>0.020436262221249</v>
      </c>
      <c r="J92" s="75" t="str">
        <f>IF(I92&lt;=Capture,"Yes","No")</f>
        <v>Yes</v>
      </c>
      <c r="K92" s="39">
        <f>INDEX(AtScale,MATCH(G92,TierCodes,0))</f>
        <v>682952.585715908</v>
      </c>
      <c r="L92" s="41">
        <f>K92/(PaybackYears*Ticket*Conversion*DashMargin)/E92</f>
        <v>0.0174544294217544</v>
      </c>
      <c r="M92" s="75" t="str">
        <f>IF(L92&lt;=Capture,"Yes","No")</f>
        <v>Yes</v>
      </c>
      <c r="N92" s="86">
        <f>INDEX(ArchFactor,MATCH(C92,ArchNames,0))</f>
        <v>0.5</v>
      </c>
      <c r="O92" s="41">
        <f>Capture*N92</f>
        <v>0.015</v>
      </c>
      <c r="P92" s="39">
        <f>MIN(E92*O92*Conversion*Ticket,INDEX(CapacityPsf,MATCH(G92,TierCodes,0))*INDEX(Area,MATCH(G92,TierCodes,0)))</f>
        <v>782555.04</v>
      </c>
      <c r="Q92" s="39">
        <f>INDEX(Area,MATCH(G92,TierCodes,0))*RentPsf*(E92/Fref)^RentElasticity</f>
        <v>146660.884630231</v>
      </c>
      <c r="R92" s="39">
        <f>Q92+INDEX(RunOther,MATCH(G92,TierCodes,0))+INDEX(LicPlan,MATCH(G92,TierCodes,0))</f>
        <v>459796.457963564</v>
      </c>
      <c r="S92" s="39">
        <f>(H92+R92*PaybackYears)/(ContribMargin*SumRamp)</f>
        <v>1539830.66489343</v>
      </c>
      <c r="T92" s="41">
        <f>S92/(E92*Conversion*Ticket)</f>
        <v>0.0295154446560097</v>
      </c>
      <c r="U92" s="75" t="str">
        <f>IF(S92&lt;=P92,"Yes","No")</f>
        <v>No</v>
      </c>
      <c r="V92" s="39">
        <f>(K92+R92*PaybackYears)/(ContribMargin*SumRamp)</f>
        <v>1457382.48859204</v>
      </c>
      <c r="W92" s="75" t="str">
        <f>IF(V92&lt;=P92,"Yes","No")</f>
        <v>No</v>
      </c>
      <c r="X92" s="82">
        <f>IF(MixSource="Melbourne: full store P&amp;L",IF(U92="Yes",1,0),IF(J92="Yes",1,0))</f>
        <v>1</v>
      </c>
      <c r="Y92" s="105">
        <f>X92*1000000000+E92</f>
        <v>1003260646</v>
      </c>
      <c r="Z92" s="82">
        <f>1+COUNTIFS($G$58:$G$135,G92,$Y$58:$Y$135,"&gt;"&amp;Y92)+COUNTIFS($G$58:$G$135,G92,$Y$58:$Y$135,Y92,$A$58:$A$135,"&lt;"&amp;A92)</f>
        <v>21</v>
      </c>
      <c r="AA92" s="69" t="str">
        <f>G92&amp;"|"&amp;Z92</f>
        <v>S|21</v>
      </c>
    </row>
    <row r="93">
      <c r="A93" s="102" t="n">
        <v>52</v>
      </c>
      <c r="B93" s="8" t="inlineStr">
        <is>
          <t>Elizabeth St-Lonsdale St (South)</t>
        </is>
      </c>
      <c r="C93" s="8" t="inlineStr">
        <is>
          <t>CBD Core / All-Day</t>
        </is>
      </c>
      <c r="D93" s="103" t="n">
        <v>8726.063099999999</v>
      </c>
      <c r="E93" s="103" t="n">
        <v>3247284</v>
      </c>
      <c r="F93" s="104" t="inlineStr">
        <is>
          <t>S</t>
        </is>
      </c>
      <c r="G93" s="14" t="str">
        <f>IF(D93&gt;=FlagshipBar,IF(OR(C93="Destination Retail",C93="Evening / Entertainment",C93="CBD Core / All-Day"),"SPLUS",IF(C93="Low Activity","D","S")),IF(D93&gt;=StandardBar,IF(OR(C93="Office / Weekday Core",C93="Low Activity"),"D","S"),"D"))</f>
        <v>S</v>
      </c>
      <c r="H93" s="39">
        <f>INDEX(PilotBuild,MATCH(G93,TierCodes,0))</f>
        <v>799625</v>
      </c>
      <c r="I93" s="41">
        <f>H93/(PaybackYears*Ticket*Conversion*DashMargin)/E93</f>
        <v>0.020520353830052</v>
      </c>
      <c r="J93" s="75" t="str">
        <f>IF(I93&lt;=Capture,"Yes","No")</f>
        <v>Yes</v>
      </c>
      <c r="K93" s="39">
        <f>INDEX(AtScale,MATCH(G93,TierCodes,0))</f>
        <v>682952.585715908</v>
      </c>
      <c r="L93" s="41">
        <f>K93/(PaybackYears*Ticket*Conversion*DashMargin)/E93</f>
        <v>0.0175262513153533</v>
      </c>
      <c r="M93" s="75" t="str">
        <f>IF(L93&lt;=Capture,"Yes","No")</f>
        <v>Yes</v>
      </c>
      <c r="N93" s="86">
        <f>INDEX(ArchFactor,MATCH(C93,ArchNames,0))</f>
        <v>1</v>
      </c>
      <c r="O93" s="41">
        <f>Capture*N93</f>
        <v>0.03</v>
      </c>
      <c r="P93" s="39">
        <f>MIN(E93*O93*Conversion*Ticket,INDEX(CapacityPsf,MATCH(G93,TierCodes,0))*INDEX(Area,MATCH(G93,TierCodes,0)))</f>
        <v>1558696.32</v>
      </c>
      <c r="Q93" s="39">
        <f>INDEX(Area,MATCH(G93,TierCodes,0))*RentPsf*(E93/Fref)^RentElasticity</f>
        <v>146330.02342048</v>
      </c>
      <c r="R93" s="39">
        <f>Q93+INDEX(RunOther,MATCH(G93,TierCodes,0))+INDEX(LicPlan,MATCH(G93,TierCodes,0))</f>
        <v>459465.596753813</v>
      </c>
      <c r="S93" s="39">
        <f>(H93+R93*PaybackYears)/(ContribMargin*SumRamp)</f>
        <v>1539129.24193445</v>
      </c>
      <c r="T93" s="41">
        <f>S93/(E93*Conversion*Ticket)</f>
        <v>0.0296233953115598</v>
      </c>
      <c r="U93" s="75" t="str">
        <f>IF(S93&lt;=P93,"Yes","No")</f>
        <v>Yes</v>
      </c>
      <c r="V93" s="39">
        <f>(K93+R93*PaybackYears)/(ContribMargin*SumRamp)</f>
        <v>1456681.06563306</v>
      </c>
      <c r="W93" s="75" t="str">
        <f>IF(V93&lt;=P93,"Yes","No")</f>
        <v>Yes</v>
      </c>
      <c r="X93" s="82">
        <f>IF(MixSource="Melbourne: full store P&amp;L",IF(U93="Yes",1,0),IF(J93="Yes",1,0))</f>
        <v>1</v>
      </c>
      <c r="Y93" s="105">
        <f>X93*1000000000+E93</f>
        <v>1003247284</v>
      </c>
      <c r="Z93" s="82">
        <f>1+COUNTIFS($G$58:$G$135,G93,$Y$58:$Y$135,"&gt;"&amp;Y93)+COUNTIFS($G$58:$G$135,G93,$Y$58:$Y$135,Y93,$A$58:$A$135,"&lt;"&amp;A93)</f>
        <v>22</v>
      </c>
      <c r="AA93" s="69" t="str">
        <f>G93&amp;"|"&amp;Z93</f>
        <v>S|22</v>
      </c>
    </row>
    <row r="94">
      <c r="A94" s="102" t="n">
        <v>49</v>
      </c>
      <c r="B94" s="8" t="inlineStr">
        <is>
          <t>QVM-Therry St (South)</t>
        </is>
      </c>
      <c r="C94" s="8" t="inlineStr">
        <is>
          <t>Destination Retail</t>
        </is>
      </c>
      <c r="D94" s="103" t="n">
        <v>8177.4432</v>
      </c>
      <c r="E94" s="103" t="n">
        <v>3220391</v>
      </c>
      <c r="F94" s="104" t="inlineStr">
        <is>
          <t>S</t>
        </is>
      </c>
      <c r="G94" s="14" t="str">
        <f>IF(D94&gt;=FlagshipBar,IF(OR(C94="Destination Retail",C94="Evening / Entertainment",C94="CBD Core / All-Day"),"SPLUS",IF(C94="Low Activity","D","S")),IF(D94&gt;=StandardBar,IF(OR(C94="Office / Weekday Core",C94="Low Activity"),"D","S"),"D"))</f>
        <v>S</v>
      </c>
      <c r="H94" s="39">
        <f>INDEX(PilotBuild,MATCH(G94,TierCodes,0))</f>
        <v>799625</v>
      </c>
      <c r="I94" s="41">
        <f>H94/(PaybackYears*Ticket*Conversion*DashMargin)/E94</f>
        <v>0.0206917162129278</v>
      </c>
      <c r="J94" s="75" t="str">
        <f>IF(I94&lt;=Capture,"Yes","No")</f>
        <v>Yes</v>
      </c>
      <c r="K94" s="39">
        <f>INDEX(AtScale,MATCH(G94,TierCodes,0))</f>
        <v>682952.585715908</v>
      </c>
      <c r="L94" s="41">
        <f>K94/(PaybackYears*Ticket*Conversion*DashMargin)/E94</f>
        <v>0.0176726103992732</v>
      </c>
      <c r="M94" s="75" t="str">
        <f>IF(L94&lt;=Capture,"Yes","No")</f>
        <v>Yes</v>
      </c>
      <c r="N94" s="86">
        <f>INDEX(ArchFactor,MATCH(C94,ArchNames,0))</f>
        <v>1.2</v>
      </c>
      <c r="O94" s="41">
        <f>Capture*N94</f>
        <v>0.036</v>
      </c>
      <c r="P94" s="39">
        <f>MIN(E94*O94*Conversion*Ticket,INDEX(CapacityPsf,MATCH(G94,TierCodes,0))*INDEX(Area,MATCH(G94,TierCodes,0)))</f>
        <v>1854945.216</v>
      </c>
      <c r="Q94" s="39">
        <f>INDEX(Area,MATCH(G94,TierCodes,0))*RentPsf*(E94/Fref)^RentElasticity</f>
        <v>145662.253483398</v>
      </c>
      <c r="R94" s="39">
        <f>Q94+INDEX(RunOther,MATCH(G94,TierCodes,0))+INDEX(LicPlan,MATCH(G94,TierCodes,0))</f>
        <v>458797.826816731</v>
      </c>
      <c r="S94" s="39">
        <f>(H94+R94*PaybackYears)/(ContribMargin*SumRamp)</f>
        <v>1537713.5753305</v>
      </c>
      <c r="T94" s="41">
        <f>S94/(E94*Conversion*Ticket)</f>
        <v>0.0298433011575788</v>
      </c>
      <c r="U94" s="75" t="str">
        <f>IF(S94&lt;=P94,"Yes","No")</f>
        <v>Yes</v>
      </c>
      <c r="V94" s="39">
        <f>(K94+R94*PaybackYears)/(ContribMargin*SumRamp)</f>
        <v>1455265.39902912</v>
      </c>
      <c r="W94" s="75" t="str">
        <f>IF(V94&lt;=P94,"Yes","No")</f>
        <v>Yes</v>
      </c>
      <c r="X94" s="82">
        <f>IF(MixSource="Melbourne: full store P&amp;L",IF(U94="Yes",1,0),IF(J94="Yes",1,0))</f>
        <v>1</v>
      </c>
      <c r="Y94" s="105">
        <f>X94*1000000000+E94</f>
        <v>1003220391</v>
      </c>
      <c r="Z94" s="82">
        <f>1+COUNTIFS($G$58:$G$135,G94,$Y$58:$Y$135,"&gt;"&amp;Y94)+COUNTIFS($G$58:$G$135,G94,$Y$58:$Y$135,Y94,$A$58:$A$135,"&lt;"&amp;A94)</f>
        <v>23</v>
      </c>
      <c r="AA94" s="69" t="str">
        <f>G94&amp;"|"&amp;Z94</f>
        <v>S|23</v>
      </c>
    </row>
    <row r="95">
      <c r="A95" s="102" t="n">
        <v>20</v>
      </c>
      <c r="B95" s="8" t="inlineStr">
        <is>
          <t>Chinatown-Lt Bourke St (South)</t>
        </is>
      </c>
      <c r="C95" s="8" t="inlineStr">
        <is>
          <t>Evening / Entertainment</t>
        </is>
      </c>
      <c r="D95" s="103" t="n">
        <v>7421.5951</v>
      </c>
      <c r="E95" s="103" t="n">
        <v>3093772</v>
      </c>
      <c r="F95" s="104" t="inlineStr">
        <is>
          <t>S</t>
        </is>
      </c>
      <c r="G95" s="14" t="str">
        <f>IF(D95&gt;=FlagshipBar,IF(OR(C95="Destination Retail",C95="Evening / Entertainment",C95="CBD Core / All-Day"),"SPLUS",IF(C95="Low Activity","D","S")),IF(D95&gt;=StandardBar,IF(OR(C95="Office / Weekday Core",C95="Low Activity"),"D","S"),"D"))</f>
        <v>S</v>
      </c>
      <c r="H95" s="39">
        <f>INDEX(PilotBuild,MATCH(G95,TierCodes,0))</f>
        <v>799625</v>
      </c>
      <c r="I95" s="41">
        <f>H95/(PaybackYears*Ticket*Conversion*DashMargin)/E95</f>
        <v>0.0215385673755748</v>
      </c>
      <c r="J95" s="75" t="str">
        <f>IF(I95&lt;=Capture,"Yes","No")</f>
        <v>Yes</v>
      </c>
      <c r="K95" s="39">
        <f>INDEX(AtScale,MATCH(G95,TierCodes,0))</f>
        <v>682952.585715908</v>
      </c>
      <c r="L95" s="41">
        <f>K95/(PaybackYears*Ticket*Conversion*DashMargin)/E95</f>
        <v>0.0183958984295952</v>
      </c>
      <c r="M95" s="75" t="str">
        <f>IF(L95&lt;=Capture,"Yes","No")</f>
        <v>Yes</v>
      </c>
      <c r="N95" s="86">
        <f>INDEX(ArchFactor,MATCH(C95,ArchNames,0))</f>
        <v>1.1</v>
      </c>
      <c r="O95" s="41">
        <f>Capture*N95</f>
        <v>0.033</v>
      </c>
      <c r="P95" s="39">
        <f>MIN(E95*O95*Conversion*Ticket,INDEX(CapacityPsf,MATCH(G95,TierCodes,0))*INDEX(Area,MATCH(G95,TierCodes,0)))</f>
        <v>1633511.616</v>
      </c>
      <c r="Q95" s="39">
        <f>INDEX(Area,MATCH(G95,TierCodes,0))*RentPsf*(E95/Fref)^RentElasticity</f>
        <v>142483.921566644</v>
      </c>
      <c r="R95" s="39">
        <f>Q95+INDEX(RunOther,MATCH(G95,TierCodes,0))+INDEX(LicPlan,MATCH(G95,TierCodes,0))</f>
        <v>455619.494899977</v>
      </c>
      <c r="S95" s="39">
        <f>(H95+R95*PaybackYears)/(ContribMargin*SumRamp)</f>
        <v>1530975.53861913</v>
      </c>
      <c r="T95" s="41">
        <f>S95/(E95*Conversion*Ticket)</f>
        <v>0.0309285788234219</v>
      </c>
      <c r="U95" s="75" t="str">
        <f>IF(S95&lt;=P95,"Yes","No")</f>
        <v>Yes</v>
      </c>
      <c r="V95" s="39">
        <f>(K95+R95*PaybackYears)/(ContribMargin*SumRamp)</f>
        <v>1448527.36231774</v>
      </c>
      <c r="W95" s="75" t="str">
        <f>IF(V95&lt;=P95,"Yes","No")</f>
        <v>Yes</v>
      </c>
      <c r="X95" s="82">
        <f>IF(MixSource="Melbourne: full store P&amp;L",IF(U95="Yes",1,0),IF(J95="Yes",1,0))</f>
        <v>1</v>
      </c>
      <c r="Y95" s="105">
        <f>X95*1000000000+E95</f>
        <v>1003093772</v>
      </c>
      <c r="Z95" s="82">
        <f>1+COUNTIFS($G$58:$G$135,G95,$Y$58:$Y$135,"&gt;"&amp;Y95)+COUNTIFS($G$58:$G$135,G95,$Y$58:$Y$135,Y95,$A$58:$A$135,"&lt;"&amp;A95)</f>
        <v>24</v>
      </c>
      <c r="AA95" s="69" t="str">
        <f>G95&amp;"|"&amp;Z95</f>
        <v>S|24</v>
      </c>
    </row>
    <row r="96">
      <c r="A96" s="102" t="n">
        <v>23</v>
      </c>
      <c r="B96" s="8" t="inlineStr">
        <is>
          <t>Spencer St-Collins St (South)</t>
        </is>
      </c>
      <c r="C96" s="8" t="inlineStr">
        <is>
          <t>Office / Weekday Core</t>
        </is>
      </c>
      <c r="D96" s="103" t="n">
        <v>9666.383599999999</v>
      </c>
      <c r="E96" s="103" t="n">
        <v>3051479</v>
      </c>
      <c r="F96" s="104" t="inlineStr">
        <is>
          <t>D</t>
        </is>
      </c>
      <c r="G96" s="14" t="str">
        <f>IF(D96&gt;=FlagshipBar,IF(OR(C96="Destination Retail",C96="Evening / Entertainment",C96="CBD Core / All-Day"),"SPLUS",IF(C96="Low Activity","D","S")),IF(D96&gt;=StandardBar,IF(OR(C96="Office / Weekday Core",C96="Low Activity"),"D","S"),"D"))</f>
        <v>D</v>
      </c>
      <c r="H96" s="39">
        <f>INDEX(PilotBuild,MATCH(G96,TierCodes,0))</f>
        <v>453040</v>
      </c>
      <c r="I96" s="41">
        <f>H96/(PaybackYears*Ticket*Conversion*DashMargin)/E96</f>
        <v>0.0123721426014511</v>
      </c>
      <c r="J96" s="75" t="str">
        <f>IF(I96&lt;=Capture,"Yes","No")</f>
        <v>Yes</v>
      </c>
      <c r="K96" s="39">
        <f>INDEX(AtScale,MATCH(G96,TierCodes,0))</f>
        <v>388970.217516837</v>
      </c>
      <c r="L96" s="41">
        <f>K96/(PaybackYears*Ticket*Conversion*DashMargin)/E96</f>
        <v>0.0106224505536724</v>
      </c>
      <c r="M96" s="75" t="str">
        <f>IF(L96&lt;=Capture,"Yes","No")</f>
        <v>Yes</v>
      </c>
      <c r="N96" s="86">
        <f>INDEX(ArchFactor,MATCH(C96,ArchNames,0))</f>
        <v>0.7</v>
      </c>
      <c r="O96" s="41">
        <f>Capture*N96</f>
        <v>0.021</v>
      </c>
      <c r="P96" s="39">
        <f>MIN(E96*O96*Conversion*Ticket,INDEX(CapacityPsf,MATCH(G96,TierCodes,0))*INDEX(Area,MATCH(G96,TierCodes,0)))</f>
        <v>1025296.944</v>
      </c>
      <c r="Q96" s="39">
        <f>INDEX(Area,MATCH(G96,TierCodes,0))*RentPsf*(E96/Fref)^RentElasticity</f>
        <v>77132.351089235</v>
      </c>
      <c r="R96" s="39">
        <f>Q96+INDEX(RunOther,MATCH(G96,TierCodes,0))+INDEX(LicPlan,MATCH(G96,TierCodes,0))</f>
        <v>283220.780422568</v>
      </c>
      <c r="S96" s="39">
        <f>(H96+R96*PaybackYears)/(ContribMargin*SumRamp)</f>
        <v>920572.638871956</v>
      </c>
      <c r="T96" s="41">
        <f>S96/(E96*Conversion*Ticket)</f>
        <v>0.0188550502656244</v>
      </c>
      <c r="U96" s="75" t="str">
        <f>IF(S96&lt;=P96,"Yes","No")</f>
        <v>Yes</v>
      </c>
      <c r="V96" s="39">
        <f>(K96+R96*PaybackYears)/(ContribMargin*SumRamp)</f>
        <v>875296.840353715</v>
      </c>
      <c r="W96" s="75" t="str">
        <f>IF(V96&lt;=P96,"Yes","No")</f>
        <v>Yes</v>
      </c>
      <c r="X96" s="82">
        <f>IF(MixSource="Melbourne: full store P&amp;L",IF(U96="Yes",1,0),IF(J96="Yes",1,0))</f>
        <v>1</v>
      </c>
      <c r="Y96" s="105">
        <f>X96*1000000000+E96</f>
        <v>1003051479</v>
      </c>
      <c r="Z96" s="82">
        <f>1+COUNTIFS($G$58:$G$135,G96,$Y$58:$Y$135,"&gt;"&amp;Y96)+COUNTIFS($G$58:$G$135,G96,$Y$58:$Y$135,Y96,$A$58:$A$135,"&lt;"&amp;A96)</f>
        <v>1</v>
      </c>
      <c r="AA96" s="69" t="str">
        <f>G96&amp;"|"&amp;Z96</f>
        <v>D|1</v>
      </c>
    </row>
    <row r="97">
      <c r="A97" s="102" t="n">
        <v>14</v>
      </c>
      <c r="B97" s="8" t="inlineStr">
        <is>
          <t>Sandridge Bridge</t>
        </is>
      </c>
      <c r="C97" s="8" t="inlineStr">
        <is>
          <t>Transit Spine</t>
        </is>
      </c>
      <c r="D97" s="103" t="n">
        <v>8328.112800000001</v>
      </c>
      <c r="E97" s="103" t="n">
        <v>2960814</v>
      </c>
      <c r="F97" s="104" t="inlineStr">
        <is>
          <t>S</t>
        </is>
      </c>
      <c r="G97" s="14" t="str">
        <f>IF(D97&gt;=FlagshipBar,IF(OR(C97="Destination Retail",C97="Evening / Entertainment",C97="CBD Core / All-Day"),"SPLUS",IF(C97="Low Activity","D","S")),IF(D97&gt;=StandardBar,IF(OR(C97="Office / Weekday Core",C97="Low Activity"),"D","S"),"D"))</f>
        <v>S</v>
      </c>
      <c r="H97" s="39">
        <f>INDEX(PilotBuild,MATCH(G97,TierCodes,0))</f>
        <v>799625</v>
      </c>
      <c r="I97" s="41">
        <f>H97/(PaybackYears*Ticket*Conversion*DashMargin)/E97</f>
        <v>0.0225057760016896</v>
      </c>
      <c r="J97" s="75" t="str">
        <f>IF(I97&lt;=Capture,"Yes","No")</f>
        <v>Yes</v>
      </c>
      <c r="K97" s="39">
        <f>INDEX(AtScale,MATCH(G97,TierCodes,0))</f>
        <v>682952.585715908</v>
      </c>
      <c r="L97" s="41">
        <f>K97/(PaybackYears*Ticket*Conversion*DashMargin)/E97</f>
        <v>0.0192219826967603</v>
      </c>
      <c r="M97" s="75" t="str">
        <f>IF(L97&lt;=Capture,"Yes","No")</f>
        <v>Yes</v>
      </c>
      <c r="N97" s="86">
        <f>INDEX(ArchFactor,MATCH(C97,ArchNames,0))</f>
        <v>0.6</v>
      </c>
      <c r="O97" s="41">
        <f>Capture*N97</f>
        <v>0.018</v>
      </c>
      <c r="P97" s="39">
        <f>MIN(E97*O97*Conversion*Ticket,INDEX(CapacityPsf,MATCH(G97,TierCodes,0))*INDEX(Area,MATCH(G97,TierCodes,0)))</f>
        <v>852714.432</v>
      </c>
      <c r="Q97" s="39">
        <f>INDEX(Area,MATCH(G97,TierCodes,0))*RentPsf*(E97/Fref)^RentElasticity</f>
        <v>139082.795501631</v>
      </c>
      <c r="R97" s="39">
        <f>Q97+INDEX(RunOther,MATCH(G97,TierCodes,0))+INDEX(LicPlan,MATCH(G97,TierCodes,0))</f>
        <v>452218.368834964</v>
      </c>
      <c r="S97" s="39">
        <f>(H97+R97*PaybackYears)/(ContribMargin*SumRamp)</f>
        <v>1523765.18020274</v>
      </c>
      <c r="T97" s="41">
        <f>S97/(E97*Conversion*Ticket)</f>
        <v>0.0321652504219012</v>
      </c>
      <c r="U97" s="75" t="str">
        <f>IF(S97&lt;=P97,"Yes","No")</f>
        <v>No</v>
      </c>
      <c r="V97" s="39">
        <f>(K97+R97*PaybackYears)/(ContribMargin*SumRamp)</f>
        <v>1441317.00390135</v>
      </c>
      <c r="W97" s="75" t="str">
        <f>IF(V97&lt;=P97,"Yes","No")</f>
        <v>No</v>
      </c>
      <c r="X97" s="82">
        <f>IF(MixSource="Melbourne: full store P&amp;L",IF(U97="Yes",1,0),IF(J97="Yes",1,0))</f>
        <v>1</v>
      </c>
      <c r="Y97" s="105">
        <f>X97*1000000000+E97</f>
        <v>1002960814</v>
      </c>
      <c r="Z97" s="82">
        <f>1+COUNTIFS($G$58:$G$135,G97,$Y$58:$Y$135,"&gt;"&amp;Y97)+COUNTIFS($G$58:$G$135,G97,$Y$58:$Y$135,Y97,$A$58:$A$135,"&lt;"&amp;A97)</f>
        <v>25</v>
      </c>
      <c r="AA97" s="69" t="str">
        <f>G97&amp;"|"&amp;Z97</f>
        <v>S|25</v>
      </c>
    </row>
    <row r="98">
      <c r="A98" s="102" t="n">
        <v>72</v>
      </c>
      <c r="B98" s="8" t="inlineStr">
        <is>
          <t>Flinders St- ACMI</t>
        </is>
      </c>
      <c r="C98" s="8" t="inlineStr">
        <is>
          <t>Transit Spine</t>
        </is>
      </c>
      <c r="D98" s="103" t="n">
        <v>7746.9544</v>
      </c>
      <c r="E98" s="103" t="n">
        <v>2790403</v>
      </c>
      <c r="F98" s="104" t="inlineStr">
        <is>
          <t>S</t>
        </is>
      </c>
      <c r="G98" s="14" t="str">
        <f>IF(D98&gt;=FlagshipBar,IF(OR(C98="Destination Retail",C98="Evening / Entertainment",C98="CBD Core / All-Day"),"SPLUS",IF(C98="Low Activity","D","S")),IF(D98&gt;=StandardBar,IF(OR(C98="Office / Weekday Core",C98="Low Activity"),"D","S"),"D"))</f>
        <v>S</v>
      </c>
      <c r="H98" s="39">
        <f>INDEX(PilotBuild,MATCH(G98,TierCodes,0))</f>
        <v>799625</v>
      </c>
      <c r="I98" s="41">
        <f>H98/(PaybackYears*Ticket*Conversion*DashMargin)/E98</f>
        <v>0.023880212523663</v>
      </c>
      <c r="J98" s="75" t="str">
        <f>IF(I98&lt;=Capture,"Yes","No")</f>
        <v>Yes</v>
      </c>
      <c r="K98" s="39">
        <f>INDEX(AtScale,MATCH(G98,TierCodes,0))</f>
        <v>682952.585715908</v>
      </c>
      <c r="L98" s="41">
        <f>K98/(PaybackYears*Ticket*Conversion*DashMargin)/E98</f>
        <v>0.0203958766802952</v>
      </c>
      <c r="M98" s="75" t="str">
        <f>IF(L98&lt;=Capture,"Yes","No")</f>
        <v>Yes</v>
      </c>
      <c r="N98" s="86">
        <f>INDEX(ArchFactor,MATCH(C98,ArchNames,0))</f>
        <v>0.6</v>
      </c>
      <c r="O98" s="41">
        <f>Capture*N98</f>
        <v>0.018</v>
      </c>
      <c r="P98" s="39">
        <f>MIN(E98*O98*Conversion*Ticket,INDEX(CapacityPsf,MATCH(G98,TierCodes,0))*INDEX(Area,MATCH(G98,TierCodes,0)))</f>
        <v>803636.064</v>
      </c>
      <c r="Q98" s="39">
        <f>INDEX(Area,MATCH(G98,TierCodes,0))*RentPsf*(E98/Fref)^RentElasticity</f>
        <v>134621.400315533</v>
      </c>
      <c r="R98" s="39">
        <f>Q98+INDEX(RunOther,MATCH(G98,TierCodes,0))+INDEX(LicPlan,MATCH(G98,TierCodes,0))</f>
        <v>447756.973648866</v>
      </c>
      <c r="S98" s="39">
        <f>(H98+R98*PaybackYears)/(ContribMargin*SumRamp)</f>
        <v>1514307.06024069</v>
      </c>
      <c r="T98" s="41">
        <f>S98/(E98*Conversion*Ticket)</f>
        <v>0.0339177499683892</v>
      </c>
      <c r="U98" s="75" t="str">
        <f>IF(S98&lt;=P98,"Yes","No")</f>
        <v>No</v>
      </c>
      <c r="V98" s="39">
        <f>(K98+R98*PaybackYears)/(ContribMargin*SumRamp)</f>
        <v>1431858.8839393</v>
      </c>
      <c r="W98" s="75" t="str">
        <f>IF(V98&lt;=P98,"Yes","No")</f>
        <v>No</v>
      </c>
      <c r="X98" s="82">
        <f>IF(MixSource="Melbourne: full store P&amp;L",IF(U98="Yes",1,0),IF(J98="Yes",1,0))</f>
        <v>1</v>
      </c>
      <c r="Y98" s="105">
        <f>X98*1000000000+E98</f>
        <v>1002790403</v>
      </c>
      <c r="Z98" s="82">
        <f>1+COUNTIFS($G$58:$G$135,G98,$Y$58:$Y$135,"&gt;"&amp;Y98)+COUNTIFS($G$58:$G$135,G98,$Y$58:$Y$135,Y98,$A$58:$A$135,"&lt;"&amp;A98)</f>
        <v>26</v>
      </c>
      <c r="AA98" s="69" t="str">
        <f>G98&amp;"|"&amp;Z98</f>
        <v>S|26</v>
      </c>
    </row>
    <row r="99">
      <c r="A99" s="102" t="n">
        <v>68</v>
      </c>
      <c r="B99" s="8" t="inlineStr">
        <is>
          <t>Flinders Ln -Degraves St (North)</t>
        </is>
      </c>
      <c r="C99" s="8" t="inlineStr">
        <is>
          <t>CBD Core / All-Day</t>
        </is>
      </c>
      <c r="D99" s="103" t="n">
        <v>7584.1029</v>
      </c>
      <c r="E99" s="103" t="n">
        <v>2701299</v>
      </c>
      <c r="F99" s="104" t="inlineStr">
        <is>
          <t>S</t>
        </is>
      </c>
      <c r="G99" s="14" t="str">
        <f>IF(D99&gt;=FlagshipBar,IF(OR(C99="Destination Retail",C99="Evening / Entertainment",C99="CBD Core / All-Day"),"SPLUS",IF(C99="Low Activity","D","S")),IF(D99&gt;=StandardBar,IF(OR(C99="Office / Weekday Core",C99="Low Activity"),"D","S"),"D"))</f>
        <v>S</v>
      </c>
      <c r="H99" s="39">
        <f>INDEX(PilotBuild,MATCH(G99,TierCodes,0))</f>
        <v>799625</v>
      </c>
      <c r="I99" s="41">
        <f>H99/(PaybackYears*Ticket*Conversion*DashMargin)/E99</f>
        <v>0.0246679159421696</v>
      </c>
      <c r="J99" s="75" t="str">
        <f>IF(I99&lt;=Capture,"Yes","No")</f>
        <v>Yes</v>
      </c>
      <c r="K99" s="39">
        <f>INDEX(AtScale,MATCH(G99,TierCodes,0))</f>
        <v>682952.585715908</v>
      </c>
      <c r="L99" s="41">
        <f>K99/(PaybackYears*Ticket*Conversion*DashMargin)/E99</f>
        <v>0.0210686471495105</v>
      </c>
      <c r="M99" s="75" t="str">
        <f>IF(L99&lt;=Capture,"Yes","No")</f>
        <v>Yes</v>
      </c>
      <c r="N99" s="86">
        <f>INDEX(ArchFactor,MATCH(C99,ArchNames,0))</f>
        <v>1</v>
      </c>
      <c r="O99" s="41">
        <f>Capture*N99</f>
        <v>0.03</v>
      </c>
      <c r="P99" s="39">
        <f>MIN(E99*O99*Conversion*Ticket,INDEX(CapacityPsf,MATCH(G99,TierCodes,0))*INDEX(Area,MATCH(G99,TierCodes,0)))</f>
        <v>1296623.52</v>
      </c>
      <c r="Q99" s="39">
        <f>INDEX(Area,MATCH(G99,TierCodes,0))*RentPsf*(E99/Fref)^RentElasticity</f>
        <v>132239.82137309</v>
      </c>
      <c r="R99" s="39">
        <f>Q99+INDEX(RunOther,MATCH(G99,TierCodes,0))+INDEX(LicPlan,MATCH(G99,TierCodes,0))</f>
        <v>445375.394706423</v>
      </c>
      <c r="S99" s="39">
        <f>(H99+R99*PaybackYears)/(ContribMargin*SumRamp)</f>
        <v>1509258.13307842</v>
      </c>
      <c r="T99" s="41">
        <f>S99/(E99*Conversion*Ticket)</f>
        <v>0.0349197305879139</v>
      </c>
      <c r="U99" s="75" t="str">
        <f>IF(S99&lt;=P99,"Yes","No")</f>
        <v>No</v>
      </c>
      <c r="V99" s="39">
        <f>(K99+R99*PaybackYears)/(ContribMargin*SumRamp)</f>
        <v>1426809.95677703</v>
      </c>
      <c r="W99" s="75" t="str">
        <f>IF(V99&lt;=P99,"Yes","No")</f>
        <v>No</v>
      </c>
      <c r="X99" s="82">
        <f>IF(MixSource="Melbourne: full store P&amp;L",IF(U99="Yes",1,0),IF(J99="Yes",1,0))</f>
        <v>1</v>
      </c>
      <c r="Y99" s="105">
        <f>X99*1000000000+E99</f>
        <v>1002701299</v>
      </c>
      <c r="Z99" s="82">
        <f>1+COUNTIFS($G$58:$G$135,G99,$Y$58:$Y$135,"&gt;"&amp;Y99)+COUNTIFS($G$58:$G$135,G99,$Y$58:$Y$135,Y99,$A$58:$A$135,"&lt;"&amp;A99)</f>
        <v>27</v>
      </c>
      <c r="AA99" s="69" t="str">
        <f>G99&amp;"|"&amp;Z99</f>
        <v>S|27</v>
      </c>
    </row>
    <row r="100">
      <c r="A100" s="102" t="n">
        <v>143</v>
      </c>
      <c r="B100" s="8" t="inlineStr">
        <is>
          <t>Mounted on Toilet - Spencer Street, Batman Park</t>
        </is>
      </c>
      <c r="C100" s="8" t="inlineStr">
        <is>
          <t>Destination Retail</t>
        </is>
      </c>
      <c r="D100" s="103" t="n">
        <v>6570.7863</v>
      </c>
      <c r="E100" s="103" t="n">
        <v>2651347</v>
      </c>
      <c r="F100" s="104" t="inlineStr">
        <is>
          <t>S</t>
        </is>
      </c>
      <c r="G100" s="14" t="str">
        <f>IF(D100&gt;=FlagshipBar,IF(OR(C100="Destination Retail",C100="Evening / Entertainment",C100="CBD Core / All-Day"),"SPLUS",IF(C100="Low Activity","D","S")),IF(D100&gt;=StandardBar,IF(OR(C100="Office / Weekday Core",C100="Low Activity"),"D","S"),"D"))</f>
        <v>S</v>
      </c>
      <c r="H100" s="39">
        <f>INDEX(PilotBuild,MATCH(G100,TierCodes,0))</f>
        <v>799625</v>
      </c>
      <c r="I100" s="41">
        <f>H100/(PaybackYears*Ticket*Conversion*DashMargin)/E100</f>
        <v>0.0251326652703953</v>
      </c>
      <c r="J100" s="75" t="str">
        <f>IF(I100&lt;=Capture,"Yes","No")</f>
        <v>Yes</v>
      </c>
      <c r="K100" s="39">
        <f>INDEX(AtScale,MATCH(G100,TierCodes,0))</f>
        <v>682952.585715908</v>
      </c>
      <c r="L100" s="41">
        <f>K100/(PaybackYears*Ticket*Conversion*DashMargin)/E100</f>
        <v>0.0214655854085963</v>
      </c>
      <c r="M100" s="75" t="str">
        <f>IF(L100&lt;=Capture,"Yes","No")</f>
        <v>Yes</v>
      </c>
      <c r="N100" s="86">
        <f>INDEX(ArchFactor,MATCH(C100,ArchNames,0))</f>
        <v>1.2</v>
      </c>
      <c r="O100" s="41">
        <f>Capture*N100</f>
        <v>0.036</v>
      </c>
      <c r="P100" s="39">
        <f>MIN(E100*O100*Conversion*Ticket,INDEX(CapacityPsf,MATCH(G100,TierCodes,0))*INDEX(Area,MATCH(G100,TierCodes,0)))</f>
        <v>1527175.872</v>
      </c>
      <c r="Q100" s="39">
        <f>INDEX(Area,MATCH(G100,TierCodes,0))*RentPsf*(E100/Fref)^RentElasticity</f>
        <v>130889.22792213</v>
      </c>
      <c r="R100" s="39">
        <f>Q100+INDEX(RunOther,MATCH(G100,TierCodes,0))+INDEX(LicPlan,MATCH(G100,TierCodes,0))</f>
        <v>444024.801255464</v>
      </c>
      <c r="S100" s="39">
        <f>(H100+R100*PaybackYears)/(ContribMargin*SumRamp)</f>
        <v>1506394.88641537</v>
      </c>
      <c r="T100" s="41">
        <f>S100/(E100*Conversion*Ticket)</f>
        <v>0.0355101314165821</v>
      </c>
      <c r="U100" s="75" t="str">
        <f>IF(S100&lt;=P100,"Yes","No")</f>
        <v>Yes</v>
      </c>
      <c r="V100" s="39">
        <f>(K100+R100*PaybackYears)/(ContribMargin*SumRamp)</f>
        <v>1423946.71011398</v>
      </c>
      <c r="W100" s="75" t="str">
        <f>IF(V100&lt;=P100,"Yes","No")</f>
        <v>Yes</v>
      </c>
      <c r="X100" s="82">
        <f>IF(MixSource="Melbourne: full store P&amp;L",IF(U100="Yes",1,0),IF(J100="Yes",1,0))</f>
        <v>1</v>
      </c>
      <c r="Y100" s="105">
        <f>X100*1000000000+E100</f>
        <v>1002651347</v>
      </c>
      <c r="Z100" s="82">
        <f>1+COUNTIFS($G$58:$G$135,G100,$Y$58:$Y$135,"&gt;"&amp;Y100)+COUNTIFS($G$58:$G$135,G100,$Y$58:$Y$135,Y100,$A$58:$A$135,"&lt;"&amp;A100)</f>
        <v>28</v>
      </c>
      <c r="AA100" s="69" t="str">
        <f>G100&amp;"|"&amp;Z100</f>
        <v>S|28</v>
      </c>
    </row>
    <row r="101">
      <c r="A101" s="102" t="n">
        <v>62</v>
      </c>
      <c r="B101" s="8" t="inlineStr">
        <is>
          <t>La Trobe St (North)</t>
        </is>
      </c>
      <c r="C101" s="8" t="inlineStr">
        <is>
          <t>CBD Core / All-Day</t>
        </is>
      </c>
      <c r="D101" s="103" t="n">
        <v>6942.6161</v>
      </c>
      <c r="E101" s="103" t="n">
        <v>2520460</v>
      </c>
      <c r="F101" s="104" t="inlineStr">
        <is>
          <t>S</t>
        </is>
      </c>
      <c r="G101" s="14" t="str">
        <f>IF(D101&gt;=FlagshipBar,IF(OR(C101="Destination Retail",C101="Evening / Entertainment",C101="CBD Core / All-Day"),"SPLUS",IF(C101="Low Activity","D","S")),IF(D101&gt;=StandardBar,IF(OR(C101="Office / Weekday Core",C101="Low Activity"),"D","S"),"D"))</f>
        <v>S</v>
      </c>
      <c r="H101" s="39">
        <f>INDEX(PilotBuild,MATCH(G101,TierCodes,0))</f>
        <v>799625</v>
      </c>
      <c r="I101" s="41">
        <f>H101/(PaybackYears*Ticket*Conversion*DashMargin)/E101</f>
        <v>0.0264377997138089</v>
      </c>
      <c r="J101" s="75" t="str">
        <f>IF(I101&lt;=Capture,"Yes","No")</f>
        <v>Yes</v>
      </c>
      <c r="K101" s="39">
        <f>INDEX(AtScale,MATCH(G101,TierCodes,0))</f>
        <v>682952.585715908</v>
      </c>
      <c r="L101" s="41">
        <f>K101/(PaybackYears*Ticket*Conversion*DashMargin)/E101</f>
        <v>0.0225802891044991</v>
      </c>
      <c r="M101" s="75" t="str">
        <f>IF(L101&lt;=Capture,"Yes","No")</f>
        <v>Yes</v>
      </c>
      <c r="N101" s="86">
        <f>INDEX(ArchFactor,MATCH(C101,ArchNames,0))</f>
        <v>1</v>
      </c>
      <c r="O101" s="41">
        <f>Capture*N101</f>
        <v>0.03</v>
      </c>
      <c r="P101" s="39">
        <f>MIN(E101*O101*Conversion*Ticket,INDEX(CapacityPsf,MATCH(G101,TierCodes,0))*INDEX(Area,MATCH(G101,TierCodes,0)))</f>
        <v>1209820.8</v>
      </c>
      <c r="Q101" s="39">
        <f>INDEX(Area,MATCH(G101,TierCodes,0))*RentPsf*(E101/Fref)^RentElasticity</f>
        <v>127294.953678252</v>
      </c>
      <c r="R101" s="39">
        <f>Q101+INDEX(RunOther,MATCH(G101,TierCodes,0))+INDEX(LicPlan,MATCH(G101,TierCodes,0))</f>
        <v>440430.527011585</v>
      </c>
      <c r="S101" s="39">
        <f>(H101+R101*PaybackYears)/(ContribMargin*SumRamp)</f>
        <v>1498775.05549767</v>
      </c>
      <c r="T101" s="41">
        <f>S101/(E101*Conversion*Ticket)</f>
        <v>0.0371652162575897</v>
      </c>
      <c r="U101" s="75" t="str">
        <f>IF(S101&lt;=P101,"Yes","No")</f>
        <v>No</v>
      </c>
      <c r="V101" s="39">
        <f>(K101+R101*PaybackYears)/(ContribMargin*SumRamp)</f>
        <v>1416326.87919628</v>
      </c>
      <c r="W101" s="75" t="str">
        <f>IF(V101&lt;=P101,"Yes","No")</f>
        <v>No</v>
      </c>
      <c r="X101" s="82">
        <f>IF(MixSource="Melbourne: full store P&amp;L",IF(U101="Yes",1,0),IF(J101="Yes",1,0))</f>
        <v>1</v>
      </c>
      <c r="Y101" s="105">
        <f>X101*1000000000+E101</f>
        <v>1002520460</v>
      </c>
      <c r="Z101" s="82">
        <f>1+COUNTIFS($G$58:$G$135,G101,$Y$58:$Y$135,"&gt;"&amp;Y101)+COUNTIFS($G$58:$G$135,G101,$Y$58:$Y$135,Y101,$A$58:$A$135,"&lt;"&amp;A101)</f>
        <v>29</v>
      </c>
      <c r="AA101" s="69" t="str">
        <f>G101&amp;"|"&amp;Z101</f>
        <v>S|29</v>
      </c>
    </row>
    <row r="102">
      <c r="A102" s="102" t="n">
        <v>8</v>
      </c>
      <c r="B102" s="8" t="inlineStr">
        <is>
          <t>Webb Bridge</t>
        </is>
      </c>
      <c r="C102" s="8" t="inlineStr">
        <is>
          <t>CBD Core / All-Day</t>
        </is>
      </c>
      <c r="D102" s="103" t="n">
        <v>5842.9864</v>
      </c>
      <c r="E102" s="103" t="n">
        <v>2040494</v>
      </c>
      <c r="F102" s="104" t="inlineStr">
        <is>
          <t>S</t>
        </is>
      </c>
      <c r="G102" s="14" t="str">
        <f>IF(D102&gt;=FlagshipBar,IF(OR(C102="Destination Retail",C102="Evening / Entertainment",C102="CBD Core / All-Day"),"SPLUS",IF(C102="Low Activity","D","S")),IF(D102&gt;=StandardBar,IF(OR(C102="Office / Weekday Core",C102="Low Activity"),"D","S"),"D"))</f>
        <v>S</v>
      </c>
      <c r="H102" s="39">
        <f>INDEX(PilotBuild,MATCH(G102,TierCodes,0))</f>
        <v>799625</v>
      </c>
      <c r="I102" s="41">
        <f>H102/(PaybackYears*Ticket*Conversion*DashMargin)/E102</f>
        <v>0.0326565119361619</v>
      </c>
      <c r="J102" s="75" t="str">
        <f>IF(I102&lt;=Capture,"Yes","No")</f>
        <v>No</v>
      </c>
      <c r="K102" s="39">
        <f>INDEX(AtScale,MATCH(G102,TierCodes,0))</f>
        <v>682952.585715908</v>
      </c>
      <c r="L102" s="41">
        <f>K102/(PaybackYears*Ticket*Conversion*DashMargin)/E102</f>
        <v>0.027891635788356</v>
      </c>
      <c r="M102" s="75" t="str">
        <f>IF(L102&lt;=Capture,"Yes","No")</f>
        <v>Yes</v>
      </c>
      <c r="N102" s="86">
        <f>INDEX(ArchFactor,MATCH(C102,ArchNames,0))</f>
        <v>1</v>
      </c>
      <c r="O102" s="41">
        <f>Capture*N102</f>
        <v>0.03</v>
      </c>
      <c r="P102" s="39">
        <f>MIN(E102*O102*Conversion*Ticket,INDEX(CapacityPsf,MATCH(G102,TierCodes,0))*INDEX(Area,MATCH(G102,TierCodes,0)))</f>
        <v>979437.12</v>
      </c>
      <c r="Q102" s="39">
        <f>INDEX(Area,MATCH(G102,TierCodes,0))*RentPsf*(E102/Fref)^RentElasticity</f>
        <v>113331.782448683</v>
      </c>
      <c r="R102" s="39">
        <f>Q102+INDEX(RunOther,MATCH(G102,TierCodes,0))+INDEX(LicPlan,MATCH(G102,TierCodes,0))</f>
        <v>426467.355782016</v>
      </c>
      <c r="S102" s="39">
        <f>(H102+R102*PaybackYears)/(ContribMargin*SumRamp)</f>
        <v>1469173.2508982</v>
      </c>
      <c r="T102" s="41">
        <f>S102/(E102*Conversion*Ticket)</f>
        <v>0.0450005381937598</v>
      </c>
      <c r="U102" s="75" t="str">
        <f>IF(S102&lt;=P102,"Yes","No")</f>
        <v>No</v>
      </c>
      <c r="V102" s="39">
        <f>(K102+R102*PaybackYears)/(ContribMargin*SumRamp)</f>
        <v>1386725.07459682</v>
      </c>
      <c r="W102" s="75" t="str">
        <f>IF(V102&lt;=P102,"Yes","No")</f>
        <v>No</v>
      </c>
      <c r="X102" s="82">
        <f>IF(MixSource="Melbourne: full store P&amp;L",IF(U102="Yes",1,0),IF(J102="Yes",1,0))</f>
        <v>0</v>
      </c>
      <c r="Y102" s="105">
        <f>X102*1000000000+E102</f>
        <v>2040494</v>
      </c>
      <c r="Z102" s="82">
        <f>1+COUNTIFS($G$58:$G$135,G102,$Y$58:$Y$135,"&gt;"&amp;Y102)+COUNTIFS($G$58:$G$135,G102,$Y$58:$Y$135,Y102,$A$58:$A$135,"&lt;"&amp;A102)</f>
        <v>30</v>
      </c>
      <c r="AA102" s="69" t="str">
        <f>G102&amp;"|"&amp;Z102</f>
        <v>S|30</v>
      </c>
    </row>
    <row r="103">
      <c r="A103" s="102" t="n">
        <v>69</v>
      </c>
      <c r="B103" s="8" t="inlineStr">
        <is>
          <t>Flinders Ln -Degraves St (Crossing)</t>
        </is>
      </c>
      <c r="C103" s="8" t="inlineStr">
        <is>
          <t>Transit Spine</t>
        </is>
      </c>
      <c r="D103" s="103" t="n">
        <v>5679.463</v>
      </c>
      <c r="E103" s="103" t="n">
        <v>2039914</v>
      </c>
      <c r="F103" s="104" t="inlineStr">
        <is>
          <t>S</t>
        </is>
      </c>
      <c r="G103" s="14" t="str">
        <f>IF(D103&gt;=FlagshipBar,IF(OR(C103="Destination Retail",C103="Evening / Entertainment",C103="CBD Core / All-Day"),"SPLUS",IF(C103="Low Activity","D","S")),IF(D103&gt;=StandardBar,IF(OR(C103="Office / Weekday Core",C103="Low Activity"),"D","S"),"D"))</f>
        <v>S</v>
      </c>
      <c r="H103" s="39">
        <f>INDEX(PilotBuild,MATCH(G103,TierCodes,0))</f>
        <v>799625</v>
      </c>
      <c r="I103" s="41">
        <f>H103/(PaybackYears*Ticket*Conversion*DashMargin)/E103</f>
        <v>0.032665797022162</v>
      </c>
      <c r="J103" s="75" t="str">
        <f>IF(I103&lt;=Capture,"Yes","No")</f>
        <v>No</v>
      </c>
      <c r="K103" s="39">
        <f>INDEX(AtScale,MATCH(G103,TierCodes,0))</f>
        <v>682952.585715908</v>
      </c>
      <c r="L103" s="41">
        <f>K103/(PaybackYears*Ticket*Conversion*DashMargin)/E103</f>
        <v>0.027899566097554</v>
      </c>
      <c r="M103" s="75" t="str">
        <f>IF(L103&lt;=Capture,"Yes","No")</f>
        <v>Yes</v>
      </c>
      <c r="N103" s="86">
        <f>INDEX(ArchFactor,MATCH(C103,ArchNames,0))</f>
        <v>0.6</v>
      </c>
      <c r="O103" s="41">
        <f>Capture*N103</f>
        <v>0.018</v>
      </c>
      <c r="P103" s="39">
        <f>MIN(E103*O103*Conversion*Ticket,INDEX(CapacityPsf,MATCH(G103,TierCodes,0))*INDEX(Area,MATCH(G103,TierCodes,0)))</f>
        <v>587495.232</v>
      </c>
      <c r="Q103" s="39">
        <f>INDEX(Area,MATCH(G103,TierCodes,0))*RentPsf*(E103/Fref)^RentElasticity</f>
        <v>113314.063626144</v>
      </c>
      <c r="R103" s="39">
        <f>Q103+INDEX(RunOther,MATCH(G103,TierCodes,0))+INDEX(LicPlan,MATCH(G103,TierCodes,0))</f>
        <v>426449.636959478</v>
      </c>
      <c r="S103" s="39">
        <f>(H103+R103*PaybackYears)/(ContribMargin*SumRamp)</f>
        <v>1469135.68714468</v>
      </c>
      <c r="T103" s="41">
        <f>S103/(E103*Conversion*Ticket)</f>
        <v>0.0450121821050016</v>
      </c>
      <c r="U103" s="75" t="str">
        <f>IF(S103&lt;=P103,"Yes","No")</f>
        <v>No</v>
      </c>
      <c r="V103" s="39">
        <f>(K103+R103*PaybackYears)/(ContribMargin*SumRamp)</f>
        <v>1386687.51084329</v>
      </c>
      <c r="W103" s="75" t="str">
        <f>IF(V103&lt;=P103,"Yes","No")</f>
        <v>No</v>
      </c>
      <c r="X103" s="82">
        <f>IF(MixSource="Melbourne: full store P&amp;L",IF(U103="Yes",1,0),IF(J103="Yes",1,0))</f>
        <v>0</v>
      </c>
      <c r="Y103" s="105">
        <f>X103*1000000000+E103</f>
        <v>2039914</v>
      </c>
      <c r="Z103" s="82">
        <f>1+COUNTIFS($G$58:$G$135,G103,$Y$58:$Y$135,"&gt;"&amp;Y103)+COUNTIFS($G$58:$G$135,G103,$Y$58:$Y$135,Y103,$A$58:$A$135,"&lt;"&amp;A103)</f>
        <v>31</v>
      </c>
      <c r="AA103" s="69" t="str">
        <f>G103&amp;"|"&amp;Z103</f>
        <v>S|31</v>
      </c>
    </row>
    <row r="104">
      <c r="A104" s="102" t="n">
        <v>18</v>
      </c>
      <c r="B104" s="8" t="inlineStr">
        <is>
          <t>Collins Place (North)</t>
        </is>
      </c>
      <c r="C104" s="8" t="inlineStr">
        <is>
          <t>Commuter Corridor</t>
        </is>
      </c>
      <c r="D104" s="103" t="n">
        <v>7045.3662</v>
      </c>
      <c r="E104" s="103" t="n">
        <v>2014287</v>
      </c>
      <c r="F104" s="104" t="inlineStr">
        <is>
          <t>S</t>
        </is>
      </c>
      <c r="G104" s="14" t="str">
        <f>IF(D104&gt;=FlagshipBar,IF(OR(C104="Destination Retail",C104="Evening / Entertainment",C104="CBD Core / All-Day"),"SPLUS",IF(C104="Low Activity","D","S")),IF(D104&gt;=StandardBar,IF(OR(C104="Office / Weekday Core",C104="Low Activity"),"D","S"),"D"))</f>
        <v>S</v>
      </c>
      <c r="H104" s="39">
        <f>INDEX(PilotBuild,MATCH(G104,TierCodes,0))</f>
        <v>799625</v>
      </c>
      <c r="I104" s="41">
        <f>H104/(PaybackYears*Ticket*Conversion*DashMargin)/E104</f>
        <v>0.0330813914137691</v>
      </c>
      <c r="J104" s="75" t="str">
        <f>IF(I104&lt;=Capture,"Yes","No")</f>
        <v>No</v>
      </c>
      <c r="K104" s="39">
        <f>INDEX(AtScale,MATCH(G104,TierCodes,0))</f>
        <v>682952.585715908</v>
      </c>
      <c r="L104" s="41">
        <f>K104/(PaybackYears*Ticket*Conversion*DashMargin)/E104</f>
        <v>0.0282545215633749</v>
      </c>
      <c r="M104" s="75" t="str">
        <f>IF(L104&lt;=Capture,"Yes","No")</f>
        <v>Yes</v>
      </c>
      <c r="N104" s="86">
        <f>INDEX(ArchFactor,MATCH(C104,ArchNames,0))</f>
        <v>0.5</v>
      </c>
      <c r="O104" s="41">
        <f>Capture*N104</f>
        <v>0.015</v>
      </c>
      <c r="P104" s="39">
        <f>MIN(E104*O104*Conversion*Ticket,INDEX(CapacityPsf,MATCH(G104,TierCodes,0))*INDEX(Area,MATCH(G104,TierCodes,0)))</f>
        <v>483428.88</v>
      </c>
      <c r="Q104" s="39">
        <f>INDEX(Area,MATCH(G104,TierCodes,0))*RentPsf*(E104/Fref)^RentElasticity</f>
        <v>112528.88989509</v>
      </c>
      <c r="R104" s="39">
        <f>Q104+INDEX(RunOther,MATCH(G104,TierCodes,0))+INDEX(LicPlan,MATCH(G104,TierCodes,0))</f>
        <v>425664.463228424</v>
      </c>
      <c r="S104" s="39">
        <f>(H104+R104*PaybackYears)/(ContribMargin*SumRamp)</f>
        <v>1467471.12549309</v>
      </c>
      <c r="T104" s="41">
        <f>S104/(E104*Conversion*Ticket)</f>
        <v>0.0455332062130759</v>
      </c>
      <c r="U104" s="75" t="str">
        <f>IF(S104&lt;=P104,"Yes","No")</f>
        <v>No</v>
      </c>
      <c r="V104" s="39">
        <f>(K104+R104*PaybackYears)/(ContribMargin*SumRamp)</f>
        <v>1385022.9491917</v>
      </c>
      <c r="W104" s="75" t="str">
        <f>IF(V104&lt;=P104,"Yes","No")</f>
        <v>No</v>
      </c>
      <c r="X104" s="82">
        <f>IF(MixSource="Melbourne: full store P&amp;L",IF(U104="Yes",1,0),IF(J104="Yes",1,0))</f>
        <v>0</v>
      </c>
      <c r="Y104" s="105">
        <f>X104*1000000000+E104</f>
        <v>2014287</v>
      </c>
      <c r="Z104" s="82">
        <f>1+COUNTIFS($G$58:$G$135,G104,$Y$58:$Y$135,"&gt;"&amp;Y104)+COUNTIFS($G$58:$G$135,G104,$Y$58:$Y$135,Y104,$A$58:$A$135,"&lt;"&amp;A104)</f>
        <v>32</v>
      </c>
      <c r="AA104" s="69" t="str">
        <f>G104&amp;"|"&amp;Z104</f>
        <v>S|32</v>
      </c>
    </row>
    <row r="105">
      <c r="A105" s="102" t="n">
        <v>117</v>
      </c>
      <c r="B105" s="8" t="inlineStr">
        <is>
          <t>114 Flinders Street Car Park Footpath</t>
        </is>
      </c>
      <c r="C105" s="8" t="inlineStr">
        <is>
          <t>Transit Spine</t>
        </is>
      </c>
      <c r="D105" s="103" t="n">
        <v>5555.7995</v>
      </c>
      <c r="E105" s="103" t="n">
        <v>1998792</v>
      </c>
      <c r="F105" s="104" t="inlineStr">
        <is>
          <t>S</t>
        </is>
      </c>
      <c r="G105" s="14" t="str">
        <f>IF(D105&gt;=FlagshipBar,IF(OR(C105="Destination Retail",C105="Evening / Entertainment",C105="CBD Core / All-Day"),"SPLUS",IF(C105="Low Activity","D","S")),IF(D105&gt;=StandardBar,IF(OR(C105="Office / Weekday Core",C105="Low Activity"),"D","S"),"D"))</f>
        <v>S</v>
      </c>
      <c r="H105" s="39">
        <f>INDEX(PilotBuild,MATCH(G105,TierCodes,0))</f>
        <v>799625</v>
      </c>
      <c r="I105" s="41">
        <f>H105/(PaybackYears*Ticket*Conversion*DashMargin)/E105</f>
        <v>0.0333378443913457</v>
      </c>
      <c r="J105" s="75" t="str">
        <f>IF(I105&lt;=Capture,"Yes","No")</f>
        <v>No</v>
      </c>
      <c r="K105" s="39">
        <f>INDEX(AtScale,MATCH(G105,TierCodes,0))</f>
        <v>682952.585715908</v>
      </c>
      <c r="L105" s="41">
        <f>K105/(PaybackYears*Ticket*Conversion*DashMargin)/E105</f>
        <v>0.0284735557658454</v>
      </c>
      <c r="M105" s="75" t="str">
        <f>IF(L105&lt;=Capture,"Yes","No")</f>
        <v>Yes</v>
      </c>
      <c r="N105" s="86">
        <f>INDEX(ArchFactor,MATCH(C105,ArchNames,0))</f>
        <v>0.6</v>
      </c>
      <c r="O105" s="41">
        <f>Capture*N105</f>
        <v>0.018</v>
      </c>
      <c r="P105" s="39">
        <f>MIN(E105*O105*Conversion*Ticket,INDEX(CapacityPsf,MATCH(G105,TierCodes,0))*INDEX(Area,MATCH(G105,TierCodes,0)))</f>
        <v>575652.096</v>
      </c>
      <c r="Q105" s="39">
        <f>INDEX(Area,MATCH(G105,TierCodes,0))*RentPsf*(E105/Fref)^RentElasticity</f>
        <v>112051.964118847</v>
      </c>
      <c r="R105" s="39">
        <f>Q105+INDEX(RunOther,MATCH(G105,TierCodes,0))+INDEX(LicPlan,MATCH(G105,TierCodes,0))</f>
        <v>425187.53745218</v>
      </c>
      <c r="S105" s="39">
        <f>(H105+R105*PaybackYears)/(ContribMargin*SumRamp)</f>
        <v>1466460.04689177</v>
      </c>
      <c r="T105" s="41">
        <f>S105/(E105*Conversion*Ticket)</f>
        <v>0.0458545726272346</v>
      </c>
      <c r="U105" s="75" t="str">
        <f>IF(S105&lt;=P105,"Yes","No")</f>
        <v>No</v>
      </c>
      <c r="V105" s="39">
        <f>(K105+R105*PaybackYears)/(ContribMargin*SumRamp)</f>
        <v>1384011.87059038</v>
      </c>
      <c r="W105" s="75" t="str">
        <f>IF(V105&lt;=P105,"Yes","No")</f>
        <v>No</v>
      </c>
      <c r="X105" s="82">
        <f>IF(MixSource="Melbourne: full store P&amp;L",IF(U105="Yes",1,0),IF(J105="Yes",1,0))</f>
        <v>0</v>
      </c>
      <c r="Y105" s="105">
        <f>X105*1000000000+E105</f>
        <v>1998792</v>
      </c>
      <c r="Z105" s="82">
        <f>1+COUNTIFS($G$58:$G$135,G105,$Y$58:$Y$135,"&gt;"&amp;Y105)+COUNTIFS($G$58:$G$135,G105,$Y$58:$Y$135,Y105,$A$58:$A$135,"&lt;"&amp;A105)</f>
        <v>33</v>
      </c>
      <c r="AA105" s="69" t="str">
        <f>G105&amp;"|"&amp;Z105</f>
        <v>S|33</v>
      </c>
    </row>
    <row r="106">
      <c r="A106" s="102" t="n">
        <v>36</v>
      </c>
      <c r="B106" s="8" t="inlineStr">
        <is>
          <t>Queen St (West)</t>
        </is>
      </c>
      <c r="C106" s="8" t="inlineStr">
        <is>
          <t>Office / Weekday Core</t>
        </is>
      </c>
      <c r="D106" s="103" t="n">
        <v>5832.4095</v>
      </c>
      <c r="E106" s="103" t="n">
        <v>1991270</v>
      </c>
      <c r="F106" s="104" t="inlineStr">
        <is>
          <t>D</t>
        </is>
      </c>
      <c r="G106" s="14" t="str">
        <f>IF(D106&gt;=FlagshipBar,IF(OR(C106="Destination Retail",C106="Evening / Entertainment",C106="CBD Core / All-Day"),"SPLUS",IF(C106="Low Activity","D","S")),IF(D106&gt;=StandardBar,IF(OR(C106="Office / Weekday Core",C106="Low Activity"),"D","S"),"D"))</f>
        <v>D</v>
      </c>
      <c r="H106" s="39">
        <f>INDEX(PilotBuild,MATCH(G106,TierCodes,0))</f>
        <v>453040</v>
      </c>
      <c r="I106" s="41">
        <f>H106/(PaybackYears*Ticket*Conversion*DashMargin)/E106</f>
        <v>0.0189594245548486</v>
      </c>
      <c r="J106" s="75" t="str">
        <f>IF(I106&lt;=Capture,"Yes","No")</f>
        <v>Yes</v>
      </c>
      <c r="K106" s="39">
        <f>INDEX(AtScale,MATCH(G106,TierCodes,0))</f>
        <v>388970.217516837</v>
      </c>
      <c r="L106" s="41">
        <f>K106/(PaybackYears*Ticket*Conversion*DashMargin)/E106</f>
        <v>0.0162781465060337</v>
      </c>
      <c r="M106" s="75" t="str">
        <f>IF(L106&lt;=Capture,"Yes","No")</f>
        <v>Yes</v>
      </c>
      <c r="N106" s="86">
        <f>INDEX(ArchFactor,MATCH(C106,ArchNames,0))</f>
        <v>0.7</v>
      </c>
      <c r="O106" s="41">
        <f>Capture*N106</f>
        <v>0.021</v>
      </c>
      <c r="P106" s="39">
        <f>MIN(E106*O106*Conversion*Ticket,INDEX(CapacityPsf,MATCH(G106,TierCodes,0))*INDEX(Area,MATCH(G106,TierCodes,0)))</f>
        <v>669066.72</v>
      </c>
      <c r="Q106" s="39">
        <f>INDEX(Area,MATCH(G106,TierCodes,0))*RentPsf*(E106/Fref)^RentElasticity</f>
        <v>60992.6412044444</v>
      </c>
      <c r="R106" s="39">
        <f>Q106+INDEX(RunOther,MATCH(G106,TierCodes,0))+INDEX(LicPlan,MATCH(G106,TierCodes,0))</f>
        <v>267081.070537778</v>
      </c>
      <c r="S106" s="39">
        <f>(H106+R106*PaybackYears)/(ContribMargin*SumRamp)</f>
        <v>886356.590780392</v>
      </c>
      <c r="T106" s="41">
        <f>S106/(E106*Conversion*Ticket)</f>
        <v>0.027820078102806</v>
      </c>
      <c r="U106" s="75" t="str">
        <f>IF(S106&lt;=P106,"Yes","No")</f>
        <v>No</v>
      </c>
      <c r="V106" s="39">
        <f>(K106+R106*PaybackYears)/(ContribMargin*SumRamp)</f>
        <v>841080.792262151</v>
      </c>
      <c r="W106" s="75" t="str">
        <f>IF(V106&lt;=P106,"Yes","No")</f>
        <v>No</v>
      </c>
      <c r="X106" s="82">
        <f>IF(MixSource="Melbourne: full store P&amp;L",IF(U106="Yes",1,0),IF(J106="Yes",1,0))</f>
        <v>1</v>
      </c>
      <c r="Y106" s="105">
        <f>X106*1000000000+E106</f>
        <v>1001991270</v>
      </c>
      <c r="Z106" s="82">
        <f>1+COUNTIFS($G$58:$G$135,G106,$Y$58:$Y$135,"&gt;"&amp;Y106)+COUNTIFS($G$58:$G$135,G106,$Y$58:$Y$135,Y106,$A$58:$A$135,"&lt;"&amp;A106)</f>
        <v>2</v>
      </c>
      <c r="AA106" s="69" t="str">
        <f>G106&amp;"|"&amp;Z106</f>
        <v>D|2</v>
      </c>
    </row>
    <row r="107">
      <c r="A107" s="102" t="n">
        <v>40</v>
      </c>
      <c r="B107" s="8" t="inlineStr">
        <is>
          <t>Lonsdale St-Spring St (West)</t>
        </is>
      </c>
      <c r="C107" s="8" t="inlineStr">
        <is>
          <t>Office / Weekday Core</t>
        </is>
      </c>
      <c r="D107" s="103" t="n">
        <v>5982.1964</v>
      </c>
      <c r="E107" s="103" t="n">
        <v>1983547</v>
      </c>
      <c r="F107" s="104" t="inlineStr">
        <is>
          <t>D</t>
        </is>
      </c>
      <c r="G107" s="14" t="str">
        <f>IF(D107&gt;=FlagshipBar,IF(OR(C107="Destination Retail",C107="Evening / Entertainment",C107="CBD Core / All-Day"),"SPLUS",IF(C107="Low Activity","D","S")),IF(D107&gt;=StandardBar,IF(OR(C107="Office / Weekday Core",C107="Low Activity"),"D","S"),"D"))</f>
        <v>D</v>
      </c>
      <c r="H107" s="39">
        <f>INDEX(PilotBuild,MATCH(G107,TierCodes,0))</f>
        <v>453040</v>
      </c>
      <c r="I107" s="41">
        <f>H107/(PaybackYears*Ticket*Conversion*DashMargin)/E107</f>
        <v>0.0190332436455165</v>
      </c>
      <c r="J107" s="75" t="str">
        <f>IF(I107&lt;=Capture,"Yes","No")</f>
        <v>Yes</v>
      </c>
      <c r="K107" s="39">
        <f>INDEX(AtScale,MATCH(G107,TierCodes,0))</f>
        <v>388970.217516837</v>
      </c>
      <c r="L107" s="41">
        <f>K107/(PaybackYears*Ticket*Conversion*DashMargin)/E107</f>
        <v>0.0163415259598435</v>
      </c>
      <c r="M107" s="75" t="str">
        <f>IF(L107&lt;=Capture,"Yes","No")</f>
        <v>Yes</v>
      </c>
      <c r="N107" s="86">
        <f>INDEX(ArchFactor,MATCH(C107,ArchNames,0))</f>
        <v>0.7</v>
      </c>
      <c r="O107" s="41">
        <f>Capture*N107</f>
        <v>0.021</v>
      </c>
      <c r="P107" s="39">
        <f>MIN(E107*O107*Conversion*Ticket,INDEX(CapacityPsf,MATCH(G107,TierCodes,0))*INDEX(Area,MATCH(G107,TierCodes,0)))</f>
        <v>666471.792</v>
      </c>
      <c r="Q107" s="39">
        <f>INDEX(Area,MATCH(G107,TierCodes,0))*RentPsf*(E107/Fref)^RentElasticity</f>
        <v>60862.4218477079</v>
      </c>
      <c r="R107" s="39">
        <f>Q107+INDEX(RunOther,MATCH(G107,TierCodes,0))+INDEX(LicPlan,MATCH(G107,TierCodes,0))</f>
        <v>266950.851181041</v>
      </c>
      <c r="S107" s="39">
        <f>(H107+R107*PaybackYears)/(ContribMargin*SumRamp)</f>
        <v>886080.526848367</v>
      </c>
      <c r="T107" s="41">
        <f>S107/(E107*Conversion*Ticket)</f>
        <v>0.0279196978584439</v>
      </c>
      <c r="U107" s="75" t="str">
        <f>IF(S107&lt;=P107,"Yes","No")</f>
        <v>No</v>
      </c>
      <c r="V107" s="39">
        <f>(K107+R107*PaybackYears)/(ContribMargin*SumRamp)</f>
        <v>840804.728330126</v>
      </c>
      <c r="W107" s="75" t="str">
        <f>IF(V107&lt;=P107,"Yes","No")</f>
        <v>No</v>
      </c>
      <c r="X107" s="82">
        <f>IF(MixSource="Melbourne: full store P&amp;L",IF(U107="Yes",1,0),IF(J107="Yes",1,0))</f>
        <v>1</v>
      </c>
      <c r="Y107" s="105">
        <f>X107*1000000000+E107</f>
        <v>1001983547</v>
      </c>
      <c r="Z107" s="82">
        <f>1+COUNTIFS($G$58:$G$135,G107,$Y$58:$Y$135,"&gt;"&amp;Y107)+COUNTIFS($G$58:$G$135,G107,$Y$58:$Y$135,Y107,$A$58:$A$135,"&lt;"&amp;A107)</f>
        <v>3</v>
      </c>
      <c r="AA107" s="69" t="str">
        <f>G107&amp;"|"&amp;Z107</f>
        <v>D|3</v>
      </c>
    </row>
    <row r="108">
      <c r="A108" s="102" t="n">
        <v>50</v>
      </c>
      <c r="B108" s="8" t="inlineStr">
        <is>
          <t>Faraday St-Lygon St (West)</t>
        </is>
      </c>
      <c r="C108" s="8" t="inlineStr">
        <is>
          <t>Destination Retail</t>
        </is>
      </c>
      <c r="D108" s="103" t="n">
        <v>4986.3581</v>
      </c>
      <c r="E108" s="103" t="n">
        <v>1956080</v>
      </c>
      <c r="F108" s="104" t="inlineStr">
        <is>
          <t>D</t>
        </is>
      </c>
      <c r="G108" s="14" t="str">
        <f>IF(D108&gt;=FlagshipBar,IF(OR(C108="Destination Retail",C108="Evening / Entertainment",C108="CBD Core / All-Day"),"SPLUS",IF(C108="Low Activity","D","S")),IF(D108&gt;=StandardBar,IF(OR(C108="Office / Weekday Core",C108="Low Activity"),"D","S"),"D"))</f>
        <v>D</v>
      </c>
      <c r="H108" s="39">
        <f>INDEX(PilotBuild,MATCH(G108,TierCodes,0))</f>
        <v>453040</v>
      </c>
      <c r="I108" s="41">
        <f>H108/(PaybackYears*Ticket*Conversion*DashMargin)/E108</f>
        <v>0.0193005057734517</v>
      </c>
      <c r="J108" s="75" t="str">
        <f>IF(I108&lt;=Capture,"Yes","No")</f>
        <v>Yes</v>
      </c>
      <c r="K108" s="39">
        <f>INDEX(AtScale,MATCH(G108,TierCodes,0))</f>
        <v>388970.217516837</v>
      </c>
      <c r="L108" s="41">
        <f>K108/(PaybackYears*Ticket*Conversion*DashMargin)/E108</f>
        <v>0.0165709913669532</v>
      </c>
      <c r="M108" s="75" t="str">
        <f>IF(L108&lt;=Capture,"Yes","No")</f>
        <v>Yes</v>
      </c>
      <c r="N108" s="86">
        <f>INDEX(ArchFactor,MATCH(C108,ArchNames,0))</f>
        <v>1.2</v>
      </c>
      <c r="O108" s="41">
        <f>Capture*N108</f>
        <v>0.036</v>
      </c>
      <c r="P108" s="39">
        <f>MIN(E108*O108*Conversion*Ticket,INDEX(CapacityPsf,MATCH(G108,TierCodes,0))*INDEX(Area,MATCH(G108,TierCodes,0)))</f>
        <v>1080000</v>
      </c>
      <c r="Q108" s="39">
        <f>INDEX(Area,MATCH(G108,TierCodes,0))*RentPsf*(E108/Fref)^RentElasticity</f>
        <v>60397.4348908428</v>
      </c>
      <c r="R108" s="39">
        <f>Q108+INDEX(RunOther,MATCH(G108,TierCodes,0))+INDEX(LicPlan,MATCH(G108,TierCodes,0))</f>
        <v>266485.864224176</v>
      </c>
      <c r="S108" s="39">
        <f>(H108+R108*PaybackYears)/(ContribMargin*SumRamp)</f>
        <v>885094.758442886</v>
      </c>
      <c r="T108" s="41">
        <f>S108/(E108*Conversion*Ticket)</f>
        <v>0.0282802453901069</v>
      </c>
      <c r="U108" s="75" t="str">
        <f>IF(S108&lt;=P108,"Yes","No")</f>
        <v>Yes</v>
      </c>
      <c r="V108" s="39">
        <f>(K108+R108*PaybackYears)/(ContribMargin*SumRamp)</f>
        <v>839818.959924645</v>
      </c>
      <c r="W108" s="75" t="str">
        <f>IF(V108&lt;=P108,"Yes","No")</f>
        <v>Yes</v>
      </c>
      <c r="X108" s="82">
        <f>IF(MixSource="Melbourne: full store P&amp;L",IF(U108="Yes",1,0),IF(J108="Yes",1,0))</f>
        <v>1</v>
      </c>
      <c r="Y108" s="105">
        <f>X108*1000000000+E108</f>
        <v>1001956080</v>
      </c>
      <c r="Z108" s="82">
        <f>1+COUNTIFS($G$58:$G$135,G108,$Y$58:$Y$135,"&gt;"&amp;Y108)+COUNTIFS($G$58:$G$135,G108,$Y$58:$Y$135,Y108,$A$58:$A$135,"&lt;"&amp;A108)</f>
        <v>4</v>
      </c>
      <c r="AA108" s="69" t="str">
        <f>G108&amp;"|"&amp;Z108</f>
        <v>D|4</v>
      </c>
    </row>
    <row r="109">
      <c r="A109" s="102" t="n">
        <v>12</v>
      </c>
      <c r="B109" s="8" t="inlineStr">
        <is>
          <t>New Quay</t>
        </is>
      </c>
      <c r="C109" s="8" t="inlineStr">
        <is>
          <t>Destination Retail</t>
        </is>
      </c>
      <c r="D109" s="103" t="n">
        <v>4730.5842</v>
      </c>
      <c r="E109" s="103" t="n">
        <v>1899550</v>
      </c>
      <c r="F109" s="104" t="inlineStr">
        <is>
          <t>D</t>
        </is>
      </c>
      <c r="G109" s="14" t="str">
        <f>IF(D109&gt;=FlagshipBar,IF(OR(C109="Destination Retail",C109="Evening / Entertainment",C109="CBD Core / All-Day"),"SPLUS",IF(C109="Low Activity","D","S")),IF(D109&gt;=StandardBar,IF(OR(C109="Office / Weekday Core",C109="Low Activity"),"D","S"),"D"))</f>
        <v>D</v>
      </c>
      <c r="H109" s="39">
        <f>INDEX(PilotBuild,MATCH(G109,TierCodes,0))</f>
        <v>453040</v>
      </c>
      <c r="I109" s="41">
        <f>H109/(PaybackYears*Ticket*Conversion*DashMargin)/E109</f>
        <v>0.0198748826476446</v>
      </c>
      <c r="J109" s="75" t="str">
        <f>IF(I109&lt;=Capture,"Yes","No")</f>
        <v>Yes</v>
      </c>
      <c r="K109" s="39">
        <f>INDEX(AtScale,MATCH(G109,TierCodes,0))</f>
        <v>388970.217516837</v>
      </c>
      <c r="L109" s="41">
        <f>K109/(PaybackYears*Ticket*Conversion*DashMargin)/E109</f>
        <v>0.0170641387660603</v>
      </c>
      <c r="M109" s="75" t="str">
        <f>IF(L109&lt;=Capture,"Yes","No")</f>
        <v>Yes</v>
      </c>
      <c r="N109" s="86">
        <f>INDEX(ArchFactor,MATCH(C109,ArchNames,0))</f>
        <v>1.2</v>
      </c>
      <c r="O109" s="41">
        <f>Capture*N109</f>
        <v>0.036</v>
      </c>
      <c r="P109" s="39">
        <f>MIN(E109*O109*Conversion*Ticket,INDEX(CapacityPsf,MATCH(G109,TierCodes,0))*INDEX(Area,MATCH(G109,TierCodes,0)))</f>
        <v>1080000</v>
      </c>
      <c r="Q109" s="39">
        <f>INDEX(Area,MATCH(G109,TierCodes,0))*RentPsf*(E109/Fref)^RentElasticity</f>
        <v>59431.0986307482</v>
      </c>
      <c r="R109" s="39">
        <f>Q109+INDEX(RunOther,MATCH(G109,TierCodes,0))+INDEX(LicPlan,MATCH(G109,TierCodes,0))</f>
        <v>265519.527964082</v>
      </c>
      <c r="S109" s="39">
        <f>(H109+R109*PaybackYears)/(ContribMargin*SumRamp)</f>
        <v>883046.133765984</v>
      </c>
      <c r="T109" s="41">
        <f>S109/(E109*Conversion*Ticket)</f>
        <v>0.0290544515071328</v>
      </c>
      <c r="U109" s="75" t="str">
        <f>IF(S109&lt;=P109,"Yes","No")</f>
        <v>Yes</v>
      </c>
      <c r="V109" s="39">
        <f>(K109+R109*PaybackYears)/(ContribMargin*SumRamp)</f>
        <v>837770.335247743</v>
      </c>
      <c r="W109" s="75" t="str">
        <f>IF(V109&lt;=P109,"Yes","No")</f>
        <v>Yes</v>
      </c>
      <c r="X109" s="82">
        <f>IF(MixSource="Melbourne: full store P&amp;L",IF(U109="Yes",1,0),IF(J109="Yes",1,0))</f>
        <v>1</v>
      </c>
      <c r="Y109" s="105">
        <f>X109*1000000000+E109</f>
        <v>1001899550</v>
      </c>
      <c r="Z109" s="82">
        <f>1+COUNTIFS($G$58:$G$135,G109,$Y$58:$Y$135,"&gt;"&amp;Y109)+COUNTIFS($G$58:$G$135,G109,$Y$58:$Y$135,Y109,$A$58:$A$135,"&lt;"&amp;A109)</f>
        <v>5</v>
      </c>
      <c r="AA109" s="69" t="str">
        <f>G109&amp;"|"&amp;Z109</f>
        <v>D|5</v>
      </c>
    </row>
    <row r="110">
      <c r="A110" s="102" t="n">
        <v>31</v>
      </c>
      <c r="B110" s="8" t="inlineStr">
        <is>
          <t>Lygon St (West)</t>
        </is>
      </c>
      <c r="C110" s="8" t="inlineStr">
        <is>
          <t>Evening / Entertainment</t>
        </is>
      </c>
      <c r="D110" s="103" t="n">
        <v>4371.8195</v>
      </c>
      <c r="E110" s="103" t="n">
        <v>1837186</v>
      </c>
      <c r="F110" s="104" t="inlineStr">
        <is>
          <t>D</t>
        </is>
      </c>
      <c r="G110" s="14" t="str">
        <f>IF(D110&gt;=FlagshipBar,IF(OR(C110="Destination Retail",C110="Evening / Entertainment",C110="CBD Core / All-Day"),"SPLUS",IF(C110="Low Activity","D","S")),IF(D110&gt;=StandardBar,IF(OR(C110="Office / Weekday Core",C110="Low Activity"),"D","S"),"D"))</f>
        <v>D</v>
      </c>
      <c r="H110" s="39">
        <f>INDEX(PilotBuild,MATCH(G110,TierCodes,0))</f>
        <v>453040</v>
      </c>
      <c r="I110" s="41">
        <f>H110/(PaybackYears*Ticket*Conversion*DashMargin)/E110</f>
        <v>0.0205495433414653</v>
      </c>
      <c r="J110" s="75" t="str">
        <f>IF(I110&lt;=Capture,"Yes","No")</f>
        <v>Yes</v>
      </c>
      <c r="K110" s="39">
        <f>INDEX(AtScale,MATCH(G110,TierCodes,0))</f>
        <v>388970.217516837</v>
      </c>
      <c r="L110" s="41">
        <f>K110/(PaybackYears*Ticket*Conversion*DashMargin)/E110</f>
        <v>0.0176433876553979</v>
      </c>
      <c r="M110" s="75" t="str">
        <f>IF(L110&lt;=Capture,"Yes","No")</f>
        <v>Yes</v>
      </c>
      <c r="N110" s="86">
        <f>INDEX(ArchFactor,MATCH(C110,ArchNames,0))</f>
        <v>1.1</v>
      </c>
      <c r="O110" s="41">
        <f>Capture*N110</f>
        <v>0.033</v>
      </c>
      <c r="P110" s="39">
        <f>MIN(E110*O110*Conversion*Ticket,INDEX(CapacityPsf,MATCH(G110,TierCodes,0))*INDEX(Area,MATCH(G110,TierCodes,0)))</f>
        <v>970034.208</v>
      </c>
      <c r="Q110" s="39">
        <f>INDEX(Area,MATCH(G110,TierCodes,0))*RentPsf*(E110/Fref)^RentElasticity</f>
        <v>58349.8947967404</v>
      </c>
      <c r="R110" s="39">
        <f>Q110+INDEX(RunOther,MATCH(G110,TierCodes,0))+INDEX(LicPlan,MATCH(G110,TierCodes,0))</f>
        <v>264438.324130074</v>
      </c>
      <c r="S110" s="39">
        <f>(H110+R110*PaybackYears)/(ContribMargin*SumRamp)</f>
        <v>880753.99080646</v>
      </c>
      <c r="T110" s="41">
        <f>S110/(E110*Conversion*Ticket)</f>
        <v>0.0299627388981865</v>
      </c>
      <c r="U110" s="75" t="str">
        <f>IF(S110&lt;=P110,"Yes","No")</f>
        <v>Yes</v>
      </c>
      <c r="V110" s="39">
        <f>(K110+R110*PaybackYears)/(ContribMargin*SumRamp)</f>
        <v>835478.192288219</v>
      </c>
      <c r="W110" s="75" t="str">
        <f>IF(V110&lt;=P110,"Yes","No")</f>
        <v>Yes</v>
      </c>
      <c r="X110" s="82">
        <f>IF(MixSource="Melbourne: full store P&amp;L",IF(U110="Yes",1,0),IF(J110="Yes",1,0))</f>
        <v>1</v>
      </c>
      <c r="Y110" s="105">
        <f>X110*1000000000+E110</f>
        <v>1001837186</v>
      </c>
      <c r="Z110" s="82">
        <f>1+COUNTIFS($G$58:$G$135,G110,$Y$58:$Y$135,"&gt;"&amp;Y110)+COUNTIFS($G$58:$G$135,G110,$Y$58:$Y$135,Y110,$A$58:$A$135,"&lt;"&amp;A110)</f>
        <v>6</v>
      </c>
      <c r="AA110" s="69" t="str">
        <f>G110&amp;"|"&amp;Z110</f>
        <v>D|6</v>
      </c>
    </row>
    <row r="111">
      <c r="A111" s="102" t="n">
        <v>77</v>
      </c>
      <c r="B111" s="8" t="inlineStr">
        <is>
          <t>Harbour Esplanade (West) - Pedestrian path</t>
        </is>
      </c>
      <c r="C111" s="8" t="inlineStr">
        <is>
          <t>Evening / Entertainment</t>
        </is>
      </c>
      <c r="D111" s="103" t="n">
        <v>4576.7773</v>
      </c>
      <c r="E111" s="103" t="n">
        <v>1795590</v>
      </c>
      <c r="F111" s="104" t="inlineStr">
        <is>
          <t>D</t>
        </is>
      </c>
      <c r="G111" s="14" t="str">
        <f>IF(D111&gt;=FlagshipBar,IF(OR(C111="Destination Retail",C111="Evening / Entertainment",C111="CBD Core / All-Day"),"SPLUS",IF(C111="Low Activity","D","S")),IF(D111&gt;=StandardBar,IF(OR(C111="Office / Weekday Core",C111="Low Activity"),"D","S"),"D"))</f>
        <v>D</v>
      </c>
      <c r="H111" s="39">
        <f>INDEX(PilotBuild,MATCH(G111,TierCodes,0))</f>
        <v>453040</v>
      </c>
      <c r="I111" s="41">
        <f>H111/(PaybackYears*Ticket*Conversion*DashMargin)/E111</f>
        <v>0.0210255867616401</v>
      </c>
      <c r="J111" s="75" t="str">
        <f>IF(I111&lt;=Capture,"Yes","No")</f>
        <v>Yes</v>
      </c>
      <c r="K111" s="39">
        <f>INDEX(AtScale,MATCH(G111,TierCodes,0))</f>
        <v>388970.217516837</v>
      </c>
      <c r="L111" s="41">
        <f>K111/(PaybackYears*Ticket*Conversion*DashMargin)/E111</f>
        <v>0.0180521081054527</v>
      </c>
      <c r="M111" s="75" t="str">
        <f>IF(L111&lt;=Capture,"Yes","No")</f>
        <v>Yes</v>
      </c>
      <c r="N111" s="86">
        <f>INDEX(ArchFactor,MATCH(C111,ArchNames,0))</f>
        <v>1.1</v>
      </c>
      <c r="O111" s="41">
        <f>Capture*N111</f>
        <v>0.033</v>
      </c>
      <c r="P111" s="39">
        <f>MIN(E111*O111*Conversion*Ticket,INDEX(CapacityPsf,MATCH(G111,TierCodes,0))*INDEX(Area,MATCH(G111,TierCodes,0)))</f>
        <v>948071.52</v>
      </c>
      <c r="Q111" s="39">
        <f>INDEX(Area,MATCH(G111,TierCodes,0))*RentPsf*(E111/Fref)^RentElasticity</f>
        <v>57619.5424518273</v>
      </c>
      <c r="R111" s="39">
        <f>Q111+INDEX(RunOther,MATCH(G111,TierCodes,0))+INDEX(LicPlan,MATCH(G111,TierCodes,0))</f>
        <v>263707.971785161</v>
      </c>
      <c r="S111" s="39">
        <f>(H111+R111*PaybackYears)/(ContribMargin*SumRamp)</f>
        <v>879205.650028607</v>
      </c>
      <c r="T111" s="41">
        <f>S111/(E111*Conversion*Ticket)</f>
        <v>0.0306029511897415</v>
      </c>
      <c r="U111" s="75" t="str">
        <f>IF(S111&lt;=P111,"Yes","No")</f>
        <v>Yes</v>
      </c>
      <c r="V111" s="39">
        <f>(K111+R111*PaybackYears)/(ContribMargin*SumRamp)</f>
        <v>833929.851510366</v>
      </c>
      <c r="W111" s="75" t="str">
        <f>IF(V111&lt;=P111,"Yes","No")</f>
        <v>Yes</v>
      </c>
      <c r="X111" s="82">
        <f>IF(MixSource="Melbourne: full store P&amp;L",IF(U111="Yes",1,0),IF(J111="Yes",1,0))</f>
        <v>1</v>
      </c>
      <c r="Y111" s="105">
        <f>X111*1000000000+E111</f>
        <v>1001795590</v>
      </c>
      <c r="Z111" s="82">
        <f>1+COUNTIFS($G$58:$G$135,G111,$Y$58:$Y$135,"&gt;"&amp;Y111)+COUNTIFS($G$58:$G$135,G111,$Y$58:$Y$135,Y111,$A$58:$A$135,"&lt;"&amp;A111)</f>
        <v>7</v>
      </c>
      <c r="AA111" s="69" t="str">
        <f>G111&amp;"|"&amp;Z111</f>
        <v>D|7</v>
      </c>
    </row>
    <row r="112">
      <c r="A112" s="102" t="n">
        <v>42</v>
      </c>
      <c r="B112" s="8" t="inlineStr">
        <is>
          <t>Grattan St-Swanston St (West)</t>
        </is>
      </c>
      <c r="C112" s="8" t="inlineStr">
        <is>
          <t>Office / Weekday Core</t>
        </is>
      </c>
      <c r="D112" s="103" t="n">
        <v>5726.2833</v>
      </c>
      <c r="E112" s="103" t="n">
        <v>1673746</v>
      </c>
      <c r="F112" s="104" t="inlineStr">
        <is>
          <t>D</t>
        </is>
      </c>
      <c r="G112" s="14" t="str">
        <f>IF(D112&gt;=FlagshipBar,IF(OR(C112="Destination Retail",C112="Evening / Entertainment",C112="CBD Core / All-Day"),"SPLUS",IF(C112="Low Activity","D","S")),IF(D112&gt;=StandardBar,IF(OR(C112="Office / Weekday Core",C112="Low Activity"),"D","S"),"D"))</f>
        <v>D</v>
      </c>
      <c r="H112" s="39">
        <f>INDEX(PilotBuild,MATCH(G112,TierCodes,0))</f>
        <v>453040</v>
      </c>
      <c r="I112" s="41">
        <f>H112/(PaybackYears*Ticket*Conversion*DashMargin)/E112</f>
        <v>0.0225561903259714</v>
      </c>
      <c r="J112" s="75" t="str">
        <f>IF(I112&lt;=Capture,"Yes","No")</f>
        <v>Yes</v>
      </c>
      <c r="K112" s="39">
        <f>INDEX(AtScale,MATCH(G112,TierCodes,0))</f>
        <v>388970.217516837</v>
      </c>
      <c r="L112" s="41">
        <f>K112/(PaybackYears*Ticket*Conversion*DashMargin)/E112</f>
        <v>0.0193662507889906</v>
      </c>
      <c r="M112" s="75" t="str">
        <f>IF(L112&lt;=Capture,"Yes","No")</f>
        <v>Yes</v>
      </c>
      <c r="N112" s="86">
        <f>INDEX(ArchFactor,MATCH(C112,ArchNames,0))</f>
        <v>0.7</v>
      </c>
      <c r="O112" s="41">
        <f>Capture*N112</f>
        <v>0.021</v>
      </c>
      <c r="P112" s="39">
        <f>MIN(E112*O112*Conversion*Ticket,INDEX(CapacityPsf,MATCH(G112,TierCodes,0))*INDEX(Area,MATCH(G112,TierCodes,0)))</f>
        <v>562378.656</v>
      </c>
      <c r="Q112" s="39">
        <f>INDEX(Area,MATCH(G112,TierCodes,0))*RentPsf*(E112/Fref)^RentElasticity</f>
        <v>55435.1351952084</v>
      </c>
      <c r="R112" s="39">
        <f>Q112+INDEX(RunOther,MATCH(G112,TierCodes,0))+INDEX(LicPlan,MATCH(G112,TierCodes,0))</f>
        <v>261523.564528542</v>
      </c>
      <c r="S112" s="39">
        <f>(H112+R112*PaybackYears)/(ContribMargin*SumRamp)</f>
        <v>874574.725168274</v>
      </c>
      <c r="T112" s="41">
        <f>S112/(E112*Conversion*Ticket)</f>
        <v>0.0326578347748208</v>
      </c>
      <c r="U112" s="75" t="str">
        <f>IF(S112&lt;=P112,"Yes","No")</f>
        <v>No</v>
      </c>
      <c r="V112" s="39">
        <f>(K112+R112*PaybackYears)/(ContribMargin*SumRamp)</f>
        <v>829298.926650034</v>
      </c>
      <c r="W112" s="75" t="str">
        <f>IF(V112&lt;=P112,"Yes","No")</f>
        <v>No</v>
      </c>
      <c r="X112" s="82">
        <f>IF(MixSource="Melbourne: full store P&amp;L",IF(U112="Yes",1,0),IF(J112="Yes",1,0))</f>
        <v>1</v>
      </c>
      <c r="Y112" s="105">
        <f>X112*1000000000+E112</f>
        <v>1001673746</v>
      </c>
      <c r="Z112" s="82">
        <f>1+COUNTIFS($G$58:$G$135,G112,$Y$58:$Y$135,"&gt;"&amp;Y112)+COUNTIFS($G$58:$G$135,G112,$Y$58:$Y$135,Y112,$A$58:$A$135,"&lt;"&amp;A112)</f>
        <v>8</v>
      </c>
      <c r="AA112" s="69" t="str">
        <f>G112&amp;"|"&amp;Z112</f>
        <v>D|8</v>
      </c>
    </row>
    <row r="113">
      <c r="A113" s="102" t="n">
        <v>141</v>
      </c>
      <c r="B113" s="8" t="inlineStr">
        <is>
          <t>Awning of Nationwide Parking 474 Flinders Street</t>
        </is>
      </c>
      <c r="C113" s="8" t="inlineStr">
        <is>
          <t>Destination Retail</t>
        </is>
      </c>
      <c r="D113" s="103" t="n">
        <v>4326.2965</v>
      </c>
      <c r="E113" s="103" t="n">
        <v>1661859</v>
      </c>
      <c r="F113" s="104" t="inlineStr">
        <is>
          <t>D</t>
        </is>
      </c>
      <c r="G113" s="14" t="str">
        <f>IF(D113&gt;=FlagshipBar,IF(OR(C113="Destination Retail",C113="Evening / Entertainment",C113="CBD Core / All-Day"),"SPLUS",IF(C113="Low Activity","D","S")),IF(D113&gt;=StandardBar,IF(OR(C113="Office / Weekday Core",C113="Low Activity"),"D","S"),"D"))</f>
        <v>D</v>
      </c>
      <c r="H113" s="39">
        <f>INDEX(PilotBuild,MATCH(G113,TierCodes,0))</f>
        <v>453040</v>
      </c>
      <c r="I113" s="41">
        <f>H113/(PaybackYears*Ticket*Conversion*DashMargin)/E113</f>
        <v>0.0227175309898934</v>
      </c>
      <c r="J113" s="75" t="str">
        <f>IF(I113&lt;=Capture,"Yes","No")</f>
        <v>Yes</v>
      </c>
      <c r="K113" s="39">
        <f>INDEX(AtScale,MATCH(G113,TierCodes,0))</f>
        <v>388970.217516837</v>
      </c>
      <c r="L113" s="41">
        <f>K113/(PaybackYears*Ticket*Conversion*DashMargin)/E113</f>
        <v>0.0195047743479259</v>
      </c>
      <c r="M113" s="75" t="str">
        <f>IF(L113&lt;=Capture,"Yes","No")</f>
        <v>Yes</v>
      </c>
      <c r="N113" s="86">
        <f>INDEX(ArchFactor,MATCH(C113,ArchNames,0))</f>
        <v>1.2</v>
      </c>
      <c r="O113" s="41">
        <f>Capture*N113</f>
        <v>0.036</v>
      </c>
      <c r="P113" s="39">
        <f>MIN(E113*O113*Conversion*Ticket,INDEX(CapacityPsf,MATCH(G113,TierCodes,0))*INDEX(Area,MATCH(G113,TierCodes,0)))</f>
        <v>957230.784</v>
      </c>
      <c r="Q113" s="39">
        <f>INDEX(Area,MATCH(G113,TierCodes,0))*RentPsf*(E113/Fref)^RentElasticity</f>
        <v>55218.2517865992</v>
      </c>
      <c r="R113" s="39">
        <f>Q113+INDEX(RunOther,MATCH(G113,TierCodes,0))+INDEX(LicPlan,MATCH(G113,TierCodes,0))</f>
        <v>261306.681119933</v>
      </c>
      <c r="S113" s="39">
        <f>(H113+R113*PaybackYears)/(ContribMargin*SumRamp)</f>
        <v>874114.934181187</v>
      </c>
      <c r="T113" s="41">
        <f>S113/(E113*Conversion*Ticket)</f>
        <v>0.0328741387724976</v>
      </c>
      <c r="U113" s="75" t="str">
        <f>IF(S113&lt;=P113,"Yes","No")</f>
        <v>Yes</v>
      </c>
      <c r="V113" s="39">
        <f>(K113+R113*PaybackYears)/(ContribMargin*SumRamp)</f>
        <v>828839.135662946</v>
      </c>
      <c r="W113" s="75" t="str">
        <f>IF(V113&lt;=P113,"Yes","No")</f>
        <v>Yes</v>
      </c>
      <c r="X113" s="82">
        <f>IF(MixSource="Melbourne: full store P&amp;L",IF(U113="Yes",1,0),IF(J113="Yes",1,0))</f>
        <v>1</v>
      </c>
      <c r="Y113" s="105">
        <f>X113*1000000000+E113</f>
        <v>1001661859</v>
      </c>
      <c r="Z113" s="82">
        <f>1+COUNTIFS($G$58:$G$135,G113,$Y$58:$Y$135,"&gt;"&amp;Y113)+COUNTIFS($G$58:$G$135,G113,$Y$58:$Y$135,Y113,$A$58:$A$135,"&lt;"&amp;A113)</f>
        <v>9</v>
      </c>
      <c r="AA113" s="69" t="str">
        <f>G113&amp;"|"&amp;Z113</f>
        <v>D|9</v>
      </c>
    </row>
    <row r="114">
      <c r="A114" s="102" t="n">
        <v>109</v>
      </c>
      <c r="B114" s="8" t="inlineStr">
        <is>
          <t>La Trobe St- William St (South)</t>
        </is>
      </c>
      <c r="C114" s="8" t="inlineStr">
        <is>
          <t>Commuter Corridor</t>
        </is>
      </c>
      <c r="D114" s="103" t="n">
        <v>5146.867</v>
      </c>
      <c r="E114" s="103" t="n">
        <v>1620185</v>
      </c>
      <c r="F114" s="104" t="inlineStr">
        <is>
          <t>S</t>
        </is>
      </c>
      <c r="G114" s="14" t="str">
        <f>IF(D114&gt;=FlagshipBar,IF(OR(C114="Destination Retail",C114="Evening / Entertainment",C114="CBD Core / All-Day"),"SPLUS",IF(C114="Low Activity","D","S")),IF(D114&gt;=StandardBar,IF(OR(C114="Office / Weekday Core",C114="Low Activity"),"D","S"),"D"))</f>
        <v>S</v>
      </c>
      <c r="H114" s="39">
        <f>INDEX(PilotBuild,MATCH(G114,TierCodes,0))</f>
        <v>799625</v>
      </c>
      <c r="I114" s="41">
        <f>H114/(PaybackYears*Ticket*Conversion*DashMargin)/E114</f>
        <v>0.0411282765034034</v>
      </c>
      <c r="J114" s="75" t="str">
        <f>IF(I114&lt;=Capture,"Yes","No")</f>
        <v>No</v>
      </c>
      <c r="K114" s="39">
        <f>INDEX(AtScale,MATCH(G114,TierCodes,0))</f>
        <v>682952.585715908</v>
      </c>
      <c r="L114" s="41">
        <f>K114/(PaybackYears*Ticket*Conversion*DashMargin)/E114</f>
        <v>0.0351272943992974</v>
      </c>
      <c r="M114" s="75" t="str">
        <f>IF(L114&lt;=Capture,"Yes","No")</f>
        <v>No</v>
      </c>
      <c r="N114" s="86">
        <f>INDEX(ArchFactor,MATCH(C114,ArchNames,0))</f>
        <v>0.5</v>
      </c>
      <c r="O114" s="41">
        <f>Capture*N114</f>
        <v>0.015</v>
      </c>
      <c r="P114" s="39">
        <f>MIN(E114*O114*Conversion*Ticket,INDEX(CapacityPsf,MATCH(G114,TierCodes,0))*INDEX(Area,MATCH(G114,TierCodes,0)))</f>
        <v>388844.4</v>
      </c>
      <c r="Q114" s="39">
        <f>INDEX(Area,MATCH(G114,TierCodes,0))*RentPsf*(E114/Fref)^RentElasticity</f>
        <v>99829.2540622576</v>
      </c>
      <c r="R114" s="39">
        <f>Q114+INDEX(RunOther,MATCH(G114,TierCodes,0))+INDEX(LicPlan,MATCH(G114,TierCodes,0))</f>
        <v>412964.827395591</v>
      </c>
      <c r="S114" s="39">
        <f>(H114+R114*PaybackYears)/(ContribMargin*SumRamp)</f>
        <v>1440548.00521997</v>
      </c>
      <c r="T114" s="41">
        <f>S114/(E114*Conversion*Ticket)</f>
        <v>0.0555703517352943</v>
      </c>
      <c r="U114" s="75" t="str">
        <f>IF(S114&lt;=P114,"Yes","No")</f>
        <v>No</v>
      </c>
      <c r="V114" s="39">
        <f>(K114+R114*PaybackYears)/(ContribMargin*SumRamp)</f>
        <v>1358099.82891858</v>
      </c>
      <c r="W114" s="75" t="str">
        <f>IF(V114&lt;=P114,"Yes","No")</f>
        <v>No</v>
      </c>
      <c r="X114" s="82">
        <f>IF(MixSource="Melbourne: full store P&amp;L",IF(U114="Yes",1,0),IF(J114="Yes",1,0))</f>
        <v>0</v>
      </c>
      <c r="Y114" s="105">
        <f>X114*1000000000+E114</f>
        <v>1620185</v>
      </c>
      <c r="Z114" s="82">
        <f>1+COUNTIFS($G$58:$G$135,G114,$Y$58:$Y$135,"&gt;"&amp;Y114)+COUNTIFS($G$58:$G$135,G114,$Y$58:$Y$135,Y114,$A$58:$A$135,"&lt;"&amp;A114)</f>
        <v>34</v>
      </c>
      <c r="AA114" s="69" t="str">
        <f>G114&amp;"|"&amp;Z114</f>
        <v>S|34</v>
      </c>
    </row>
    <row r="115">
      <c r="A115" s="102" t="n">
        <v>132</v>
      </c>
      <c r="B115" s="8" t="inlineStr">
        <is>
          <t>I-Hub Corner of King Street and Latrobe Street (317-335 King)</t>
        </is>
      </c>
      <c r="C115" s="8" t="inlineStr">
        <is>
          <t>CBD Core / All-Day</t>
        </is>
      </c>
      <c r="D115" s="103" t="n">
        <v>4375.6103</v>
      </c>
      <c r="E115" s="103" t="n">
        <v>1578724</v>
      </c>
      <c r="F115" s="104" t="inlineStr">
        <is>
          <t>D</t>
        </is>
      </c>
      <c r="G115" s="14" t="str">
        <f>IF(D115&gt;=FlagshipBar,IF(OR(C115="Destination Retail",C115="Evening / Entertainment",C115="CBD Core / All-Day"),"SPLUS",IF(C115="Low Activity","D","S")),IF(D115&gt;=StandardBar,IF(OR(C115="Office / Weekday Core",C115="Low Activity"),"D","S"),"D"))</f>
        <v>D</v>
      </c>
      <c r="H115" s="39">
        <f>INDEX(PilotBuild,MATCH(G115,TierCodes,0))</f>
        <v>453040</v>
      </c>
      <c r="I115" s="41">
        <f>H115/(PaybackYears*Ticket*Conversion*DashMargin)/E115</f>
        <v>0.0239138274539016</v>
      </c>
      <c r="J115" s="75" t="str">
        <f>IF(I115&lt;=Capture,"Yes","No")</f>
        <v>Yes</v>
      </c>
      <c r="K115" s="39">
        <f>INDEX(AtScale,MATCH(G115,TierCodes,0))</f>
        <v>388970.217516837</v>
      </c>
      <c r="L115" s="41">
        <f>K115/(PaybackYears*Ticket*Conversion*DashMargin)/E115</f>
        <v>0.0205318882800729</v>
      </c>
      <c r="M115" s="75" t="str">
        <f>IF(L115&lt;=Capture,"Yes","No")</f>
        <v>Yes</v>
      </c>
      <c r="N115" s="86">
        <f>INDEX(ArchFactor,MATCH(C115,ArchNames,0))</f>
        <v>1</v>
      </c>
      <c r="O115" s="41">
        <f>Capture*N115</f>
        <v>0.03</v>
      </c>
      <c r="P115" s="39">
        <f>MIN(E115*O115*Conversion*Ticket,INDEX(CapacityPsf,MATCH(G115,TierCodes,0))*INDEX(Area,MATCH(G115,TierCodes,0)))</f>
        <v>757787.52</v>
      </c>
      <c r="Q115" s="39">
        <f>INDEX(Area,MATCH(G115,TierCodes,0))*RentPsf*(E115/Fref)^RentElasticity</f>
        <v>53681.4543756099</v>
      </c>
      <c r="R115" s="39">
        <f>Q115+INDEX(RunOther,MATCH(G115,TierCodes,0))+INDEX(LicPlan,MATCH(G115,TierCodes,0))</f>
        <v>259769.883708943</v>
      </c>
      <c r="S115" s="39">
        <f>(H115+R115*PaybackYears)/(ContribMargin*SumRamp)</f>
        <v>870856.93670188</v>
      </c>
      <c r="T115" s="41">
        <f>S115/(E115*Conversion*Ticket)</f>
        <v>0.0344762976580248</v>
      </c>
      <c r="U115" s="75" t="str">
        <f>IF(S115&lt;=P115,"Yes","No")</f>
        <v>No</v>
      </c>
      <c r="V115" s="39">
        <f>(K115+R115*PaybackYears)/(ContribMargin*SumRamp)</f>
        <v>825581.138183639</v>
      </c>
      <c r="W115" s="75" t="str">
        <f>IF(V115&lt;=P115,"Yes","No")</f>
        <v>No</v>
      </c>
      <c r="X115" s="82">
        <f>IF(MixSource="Melbourne: full store P&amp;L",IF(U115="Yes",1,0),IF(J115="Yes",1,0))</f>
        <v>1</v>
      </c>
      <c r="Y115" s="105">
        <f>X115*1000000000+E115</f>
        <v>1001578724</v>
      </c>
      <c r="Z115" s="82">
        <f>1+COUNTIFS($G$58:$G$135,G115,$Y$58:$Y$135,"&gt;"&amp;Y115)+COUNTIFS($G$58:$G$135,G115,$Y$58:$Y$135,Y115,$A$58:$A$135,"&lt;"&amp;A115)</f>
        <v>10</v>
      </c>
      <c r="AA115" s="69" t="str">
        <f>G115&amp;"|"&amp;Z115</f>
        <v>D|10</v>
      </c>
    </row>
    <row r="116">
      <c r="A116" s="102" t="n">
        <v>54</v>
      </c>
      <c r="B116" s="8" t="inlineStr">
        <is>
          <t>Lincoln-Swanston (West)</t>
        </is>
      </c>
      <c r="C116" s="8" t="inlineStr">
        <is>
          <t>Commuter Corridor</t>
        </is>
      </c>
      <c r="D116" s="103" t="n">
        <v>4611.4277</v>
      </c>
      <c r="E116" s="103" t="n">
        <v>1520649</v>
      </c>
      <c r="F116" s="104" t="inlineStr">
        <is>
          <t>D</t>
        </is>
      </c>
      <c r="G116" s="14" t="str">
        <f>IF(D116&gt;=FlagshipBar,IF(OR(C116="Destination Retail",C116="Evening / Entertainment",C116="CBD Core / All-Day"),"SPLUS",IF(C116="Low Activity","D","S")),IF(D116&gt;=StandardBar,IF(OR(C116="Office / Weekday Core",C116="Low Activity"),"D","S"),"D"))</f>
        <v>D</v>
      </c>
      <c r="H116" s="39">
        <f>INDEX(PilotBuild,MATCH(G116,TierCodes,0))</f>
        <v>453040</v>
      </c>
      <c r="I116" s="41">
        <f>H116/(PaybackYears*Ticket*Conversion*DashMargin)/E116</f>
        <v>0.0248271187718753</v>
      </c>
      <c r="J116" s="75" t="str">
        <f>IF(I116&lt;=Capture,"Yes","No")</f>
        <v>Yes</v>
      </c>
      <c r="K116" s="39">
        <f>INDEX(AtScale,MATCH(G116,TierCodes,0))</f>
        <v>388970.217516837</v>
      </c>
      <c r="L116" s="41">
        <f>K116/(PaybackYears*Ticket*Conversion*DashMargin)/E116</f>
        <v>0.0213160201947128</v>
      </c>
      <c r="M116" s="75" t="str">
        <f>IF(L116&lt;=Capture,"Yes","No")</f>
        <v>Yes</v>
      </c>
      <c r="N116" s="86">
        <f>INDEX(ArchFactor,MATCH(C116,ArchNames,0))</f>
        <v>0.5</v>
      </c>
      <c r="O116" s="41">
        <f>Capture*N116</f>
        <v>0.015</v>
      </c>
      <c r="P116" s="39">
        <f>MIN(E116*O116*Conversion*Ticket,INDEX(CapacityPsf,MATCH(G116,TierCodes,0))*INDEX(Area,MATCH(G116,TierCodes,0)))</f>
        <v>364955.76</v>
      </c>
      <c r="Q116" s="39">
        <f>INDEX(Area,MATCH(G116,TierCodes,0))*RentPsf*(E116/Fref)^RentElasticity</f>
        <v>52586.2009571019</v>
      </c>
      <c r="R116" s="39">
        <f>Q116+INDEX(RunOther,MATCH(G116,TierCodes,0))+INDEX(LicPlan,MATCH(G116,TierCodes,0))</f>
        <v>258674.630290435</v>
      </c>
      <c r="S116" s="39">
        <f>(H116+R116*PaybackYears)/(ContribMargin*SumRamp)</f>
        <v>868535.008742354</v>
      </c>
      <c r="T116" s="41">
        <f>S116/(E116*Conversion*Ticket)</f>
        <v>0.0356975462755686</v>
      </c>
      <c r="U116" s="75" t="str">
        <f>IF(S116&lt;=P116,"Yes","No")</f>
        <v>No</v>
      </c>
      <c r="V116" s="39">
        <f>(K116+R116*PaybackYears)/(ContribMargin*SumRamp)</f>
        <v>823259.210224114</v>
      </c>
      <c r="W116" s="75" t="str">
        <f>IF(V116&lt;=P116,"Yes","No")</f>
        <v>No</v>
      </c>
      <c r="X116" s="82">
        <f>IF(MixSource="Melbourne: full store P&amp;L",IF(U116="Yes",1,0),IF(J116="Yes",1,0))</f>
        <v>1</v>
      </c>
      <c r="Y116" s="105">
        <f>X116*1000000000+E116</f>
        <v>1001520649</v>
      </c>
      <c r="Z116" s="82">
        <f>1+COUNTIFS($G$58:$G$135,G116,$Y$58:$Y$135,"&gt;"&amp;Y116)+COUNTIFS($G$58:$G$135,G116,$Y$58:$Y$135,Y116,$A$58:$A$135,"&lt;"&amp;A116)</f>
        <v>11</v>
      </c>
      <c r="AA116" s="69" t="str">
        <f>G116&amp;"|"&amp;Z116</f>
        <v>D|11</v>
      </c>
    </row>
    <row r="117">
      <c r="A117" s="102" t="n">
        <v>70</v>
      </c>
      <c r="B117" s="8" t="inlineStr">
        <is>
          <t>Errol Street (East)</t>
        </is>
      </c>
      <c r="C117" s="8" t="inlineStr">
        <is>
          <t>CBD Core / All-Day</t>
        </is>
      </c>
      <c r="D117" s="103" t="n">
        <v>3984.4084</v>
      </c>
      <c r="E117" s="103" t="n">
        <v>1447888</v>
      </c>
      <c r="F117" s="104" t="inlineStr">
        <is>
          <t>D</t>
        </is>
      </c>
      <c r="G117" s="14" t="str">
        <f>IF(D117&gt;=FlagshipBar,IF(OR(C117="Destination Retail",C117="Evening / Entertainment",C117="CBD Core / All-Day"),"SPLUS",IF(C117="Low Activity","D","S")),IF(D117&gt;=StandardBar,IF(OR(C117="Office / Weekday Core",C117="Low Activity"),"D","S"),"D"))</f>
        <v>D</v>
      </c>
      <c r="H117" s="39">
        <f>INDEX(PilotBuild,MATCH(G117,TierCodes,0))</f>
        <v>453040</v>
      </c>
      <c r="I117" s="41">
        <f>H117/(PaybackYears*Ticket*Conversion*DashMargin)/E117</f>
        <v>0.0260747608470637</v>
      </c>
      <c r="J117" s="75" t="str">
        <f>IF(I117&lt;=Capture,"Yes","No")</f>
        <v>Yes</v>
      </c>
      <c r="K117" s="39">
        <f>INDEX(AtScale,MATCH(G117,TierCodes,0))</f>
        <v>388970.217516837</v>
      </c>
      <c r="L117" s="41">
        <f>K117/(PaybackYears*Ticket*Conversion*DashMargin)/E117</f>
        <v>0.0223872183435941</v>
      </c>
      <c r="M117" s="75" t="str">
        <f>IF(L117&lt;=Capture,"Yes","No")</f>
        <v>Yes</v>
      </c>
      <c r="N117" s="86">
        <f>INDEX(ArchFactor,MATCH(C117,ArchNames,0))</f>
        <v>1</v>
      </c>
      <c r="O117" s="41">
        <f>Capture*N117</f>
        <v>0.03</v>
      </c>
      <c r="P117" s="39">
        <f>MIN(E117*O117*Conversion*Ticket,INDEX(CapacityPsf,MATCH(G117,TierCodes,0))*INDEX(Area,MATCH(G117,TierCodes,0)))</f>
        <v>694986.24</v>
      </c>
      <c r="Q117" s="39">
        <f>INDEX(Area,MATCH(G117,TierCodes,0))*RentPsf*(E117/Fref)^RentElasticity</f>
        <v>51187.0487081471</v>
      </c>
      <c r="R117" s="39">
        <f>Q117+INDEX(RunOther,MATCH(G117,TierCodes,0))+INDEX(LicPlan,MATCH(G117,TierCodes,0))</f>
        <v>257275.47804148</v>
      </c>
      <c r="S117" s="39">
        <f>(H117+R117*PaybackYears)/(ContribMargin*SumRamp)</f>
        <v>865568.817839334</v>
      </c>
      <c r="T117" s="41">
        <f>S117/(E117*Conversion*Ticket)</f>
        <v>0.0373634225264374</v>
      </c>
      <c r="U117" s="75" t="str">
        <f>IF(S117&lt;=P117,"Yes","No")</f>
        <v>No</v>
      </c>
      <c r="V117" s="39">
        <f>(K117+R117*PaybackYears)/(ContribMargin*SumRamp)</f>
        <v>820293.019321093</v>
      </c>
      <c r="W117" s="75" t="str">
        <f>IF(V117&lt;=P117,"Yes","No")</f>
        <v>No</v>
      </c>
      <c r="X117" s="82">
        <f>IF(MixSource="Melbourne: full store P&amp;L",IF(U117="Yes",1,0),IF(J117="Yes",1,0))</f>
        <v>1</v>
      </c>
      <c r="Y117" s="105">
        <f>X117*1000000000+E117</f>
        <v>1001447888</v>
      </c>
      <c r="Z117" s="82">
        <f>1+COUNTIFS($G$58:$G$135,G117,$Y$58:$Y$135,"&gt;"&amp;Y117)+COUNTIFS($G$58:$G$135,G117,$Y$58:$Y$135,Y117,$A$58:$A$135,"&lt;"&amp;A117)</f>
        <v>12</v>
      </c>
      <c r="AA117" s="69" t="str">
        <f>G117&amp;"|"&amp;Z117</f>
        <v>D|12</v>
      </c>
    </row>
    <row r="118">
      <c r="A118" s="102" t="n">
        <v>131</v>
      </c>
      <c r="B118" s="8" t="inlineStr">
        <is>
          <t>I-Hub Corner of King Street and Flinders Street (2-6 King)</t>
        </is>
      </c>
      <c r="C118" s="8" t="inlineStr">
        <is>
          <t>Destination Retail</t>
        </is>
      </c>
      <c r="D118" s="103" t="n">
        <v>3710.4008</v>
      </c>
      <c r="E118" s="103" t="n">
        <v>1426881</v>
      </c>
      <c r="F118" s="104" t="inlineStr">
        <is>
          <t>D</t>
        </is>
      </c>
      <c r="G118" s="14" t="str">
        <f>IF(D118&gt;=FlagshipBar,IF(OR(C118="Destination Retail",C118="Evening / Entertainment",C118="CBD Core / All-Day"),"SPLUS",IF(C118="Low Activity","D","S")),IF(D118&gt;=StandardBar,IF(OR(C118="Office / Weekday Core",C118="Low Activity"),"D","S"),"D"))</f>
        <v>D</v>
      </c>
      <c r="H118" s="39">
        <f>INDEX(PilotBuild,MATCH(G118,TierCodes,0))</f>
        <v>453040</v>
      </c>
      <c r="I118" s="41">
        <f>H118/(PaybackYears*Ticket*Conversion*DashMargin)/E118</f>
        <v>0.0264586418442276</v>
      </c>
      <c r="J118" s="75" t="str">
        <f>IF(I118&lt;=Capture,"Yes","No")</f>
        <v>Yes</v>
      </c>
      <c r="K118" s="39">
        <f>INDEX(AtScale,MATCH(G118,TierCodes,0))</f>
        <v>388970.217516837</v>
      </c>
      <c r="L118" s="41">
        <f>K118/(PaybackYears*Ticket*Conversion*DashMargin)/E118</f>
        <v>0.0227168101566072</v>
      </c>
      <c r="M118" s="75" t="str">
        <f>IF(L118&lt;=Capture,"Yes","No")</f>
        <v>Yes</v>
      </c>
      <c r="N118" s="86">
        <f>INDEX(ArchFactor,MATCH(C118,ArchNames,0))</f>
        <v>1.2</v>
      </c>
      <c r="O118" s="41">
        <f>Capture*N118</f>
        <v>0.036</v>
      </c>
      <c r="P118" s="39">
        <f>MIN(E118*O118*Conversion*Ticket,INDEX(CapacityPsf,MATCH(G118,TierCodes,0))*INDEX(Area,MATCH(G118,TierCodes,0)))</f>
        <v>821883.456</v>
      </c>
      <c r="Q118" s="39">
        <f>INDEX(Area,MATCH(G118,TierCodes,0))*RentPsf*(E118/Fref)^RentElasticity</f>
        <v>50777.2436887196</v>
      </c>
      <c r="R118" s="39">
        <f>Q118+INDEX(RunOther,MATCH(G118,TierCodes,0))+INDEX(LicPlan,MATCH(G118,TierCodes,0))</f>
        <v>256865.673022053</v>
      </c>
      <c r="S118" s="39">
        <f>(H118+R118*PaybackYears)/(ContribMargin*SumRamp)</f>
        <v>864700.03467328</v>
      </c>
      <c r="T118" s="41">
        <f>S118/(E118*Conversion*Ticket)</f>
        <v>0.0378754445304689</v>
      </c>
      <c r="U118" s="75" t="str">
        <f>IF(S118&lt;=P118,"Yes","No")</f>
        <v>No</v>
      </c>
      <c r="V118" s="39">
        <f>(K118+R118*PaybackYears)/(ContribMargin*SumRamp)</f>
        <v>819424.236155039</v>
      </c>
      <c r="W118" s="75" t="str">
        <f>IF(V118&lt;=P118,"Yes","No")</f>
        <v>Yes</v>
      </c>
      <c r="X118" s="82">
        <f>IF(MixSource="Melbourne: full store P&amp;L",IF(U118="Yes",1,0),IF(J118="Yes",1,0))</f>
        <v>1</v>
      </c>
      <c r="Y118" s="105">
        <f>X118*1000000000+E118</f>
        <v>1001426881</v>
      </c>
      <c r="Z118" s="82">
        <f>1+COUNTIFS($G$58:$G$135,G118,$Y$58:$Y$135,"&gt;"&amp;Y118)+COUNTIFS($G$58:$G$135,G118,$Y$58:$Y$135,Y118,$A$58:$A$135,"&lt;"&amp;A118)</f>
        <v>13</v>
      </c>
      <c r="AA118" s="69" t="str">
        <f>G118&amp;"|"&amp;Z118</f>
        <v>D|13</v>
      </c>
    </row>
    <row r="119">
      <c r="A119" s="102" t="n">
        <v>43</v>
      </c>
      <c r="B119" s="8" t="inlineStr">
        <is>
          <t>Monash Rd-Swanston St (West)</t>
        </is>
      </c>
      <c r="C119" s="8" t="inlineStr">
        <is>
          <t>Office / Weekday Core</t>
        </is>
      </c>
      <c r="D119" s="103" t="n">
        <v>4688.3408</v>
      </c>
      <c r="E119" s="103" t="n">
        <v>1400393</v>
      </c>
      <c r="F119" s="104" t="inlineStr">
        <is>
          <t>D</t>
        </is>
      </c>
      <c r="G119" s="14" t="str">
        <f>IF(D119&gt;=FlagshipBar,IF(OR(C119="Destination Retail",C119="Evening / Entertainment",C119="CBD Core / All-Day"),"SPLUS",IF(C119="Low Activity","D","S")),IF(D119&gt;=StandardBar,IF(OR(C119="Office / Weekday Core",C119="Low Activity"),"D","S"),"D"))</f>
        <v>D</v>
      </c>
      <c r="H119" s="39">
        <f>INDEX(PilotBuild,MATCH(G119,TierCodes,0))</f>
        <v>453040</v>
      </c>
      <c r="I119" s="41">
        <f>H119/(PaybackYears*Ticket*Conversion*DashMargin)/E119</f>
        <v>0.026959098862486</v>
      </c>
      <c r="J119" s="75" t="str">
        <f>IF(I119&lt;=Capture,"Yes","No")</f>
        <v>Yes</v>
      </c>
      <c r="K119" s="39">
        <f>INDEX(AtScale,MATCH(G119,TierCodes,0))</f>
        <v>388970.217516837</v>
      </c>
      <c r="L119" s="41">
        <f>K119/(PaybackYears*Ticket*Conversion*DashMargin)/E119</f>
        <v>0.0231464915870543</v>
      </c>
      <c r="M119" s="75" t="str">
        <f>IF(L119&lt;=Capture,"Yes","No")</f>
        <v>Yes</v>
      </c>
      <c r="N119" s="86">
        <f>INDEX(ArchFactor,MATCH(C119,ArchNames,0))</f>
        <v>0.7</v>
      </c>
      <c r="O119" s="41">
        <f>Capture*N119</f>
        <v>0.021</v>
      </c>
      <c r="P119" s="39">
        <f>MIN(E119*O119*Conversion*Ticket,INDEX(CapacityPsf,MATCH(G119,TierCodes,0))*INDEX(Area,MATCH(G119,TierCodes,0)))</f>
        <v>470532.048</v>
      </c>
      <c r="Q119" s="39">
        <f>INDEX(Area,MATCH(G119,TierCodes,0))*RentPsf*(E119/Fref)^RentElasticity</f>
        <v>50256.6249405756</v>
      </c>
      <c r="R119" s="39">
        <f>Q119+INDEX(RunOther,MATCH(G119,TierCodes,0))+INDEX(LicPlan,MATCH(G119,TierCodes,0))</f>
        <v>256345.054273909</v>
      </c>
      <c r="S119" s="39">
        <f>(H119+R119*PaybackYears)/(ContribMargin*SumRamp)</f>
        <v>863596.327342044</v>
      </c>
      <c r="T119" s="41">
        <f>S119/(E119*Conversion*Ticket)</f>
        <v>0.0385425880155626</v>
      </c>
      <c r="U119" s="75" t="str">
        <f>IF(S119&lt;=P119,"Yes","No")</f>
        <v>No</v>
      </c>
      <c r="V119" s="39">
        <f>(K119+R119*PaybackYears)/(ContribMargin*SumRamp)</f>
        <v>818320.528823803</v>
      </c>
      <c r="W119" s="75" t="str">
        <f>IF(V119&lt;=P119,"Yes","No")</f>
        <v>No</v>
      </c>
      <c r="X119" s="82">
        <f>IF(MixSource="Melbourne: full store P&amp;L",IF(U119="Yes",1,0),IF(J119="Yes",1,0))</f>
        <v>1</v>
      </c>
      <c r="Y119" s="105">
        <f>X119*1000000000+E119</f>
        <v>1001400393</v>
      </c>
      <c r="Z119" s="82">
        <f>1+COUNTIFS($G$58:$G$135,G119,$Y$58:$Y$135,"&gt;"&amp;Y119)+COUNTIFS($G$58:$G$135,G119,$Y$58:$Y$135,Y119,$A$58:$A$135,"&lt;"&amp;A119)</f>
        <v>14</v>
      </c>
      <c r="AA119" s="69" t="str">
        <f>G119&amp;"|"&amp;Z119</f>
        <v>D|14</v>
      </c>
    </row>
    <row r="120">
      <c r="A120" s="102" t="n">
        <v>107</v>
      </c>
      <c r="B120" s="8" t="inlineStr">
        <is>
          <t>Royal Mint 280 William St</t>
        </is>
      </c>
      <c r="C120" s="8" t="inlineStr">
        <is>
          <t>Office / Weekday Core</t>
        </is>
      </c>
      <c r="D120" s="103" t="n">
        <v>4057.3229</v>
      </c>
      <c r="E120" s="103" t="n">
        <v>1373849</v>
      </c>
      <c r="F120" s="104" t="inlineStr">
        <is>
          <t>D</t>
        </is>
      </c>
      <c r="G120" s="14" t="str">
        <f>IF(D120&gt;=FlagshipBar,IF(OR(C120="Destination Retail",C120="Evening / Entertainment",C120="CBD Core / All-Day"),"SPLUS",IF(C120="Low Activity","D","S")),IF(D120&gt;=StandardBar,IF(OR(C120="Office / Weekday Core",C120="Low Activity"),"D","S"),"D"))</f>
        <v>D</v>
      </c>
      <c r="H120" s="39">
        <f>INDEX(PilotBuild,MATCH(G120,TierCodes,0))</f>
        <v>453040</v>
      </c>
      <c r="I120" s="41">
        <f>H120/(PaybackYears*Ticket*Conversion*DashMargin)/E120</f>
        <v>0.0274799729324936</v>
      </c>
      <c r="J120" s="75" t="str">
        <f>IF(I120&lt;=Capture,"Yes","No")</f>
        <v>Yes</v>
      </c>
      <c r="K120" s="39">
        <f>INDEX(AtScale,MATCH(G120,TierCodes,0))</f>
        <v>388970.217516837</v>
      </c>
      <c r="L120" s="41">
        <f>K120/(PaybackYears*Ticket*Conversion*DashMargin)/E120</f>
        <v>0.0235937026507788</v>
      </c>
      <c r="M120" s="75" t="str">
        <f>IF(L120&lt;=Capture,"Yes","No")</f>
        <v>Yes</v>
      </c>
      <c r="N120" s="86">
        <f>INDEX(ArchFactor,MATCH(C120,ArchNames,0))</f>
        <v>0.7</v>
      </c>
      <c r="O120" s="41">
        <f>Capture*N120</f>
        <v>0.021</v>
      </c>
      <c r="P120" s="39">
        <f>MIN(E120*O120*Conversion*Ticket,INDEX(CapacityPsf,MATCH(G120,TierCodes,0))*INDEX(Area,MATCH(G120,TierCodes,0)))</f>
        <v>461613.264</v>
      </c>
      <c r="Q120" s="39">
        <f>INDEX(Area,MATCH(G120,TierCodes,0))*RentPsf*(E120/Fref)^RentElasticity</f>
        <v>49730.4407645351</v>
      </c>
      <c r="R120" s="39">
        <f>Q120+INDEX(RunOther,MATCH(G120,TierCodes,0))+INDEX(LicPlan,MATCH(G120,TierCodes,0))</f>
        <v>255818.870097868</v>
      </c>
      <c r="S120" s="39">
        <f>(H120+R120*PaybackYears)/(ContribMargin*SumRamp)</f>
        <v>862480.821350862</v>
      </c>
      <c r="T120" s="41">
        <f>S120/(E120*Conversion*Ticket)</f>
        <v>0.0392365182304816</v>
      </c>
      <c r="U120" s="75" t="str">
        <f>IF(S120&lt;=P120,"Yes","No")</f>
        <v>No</v>
      </c>
      <c r="V120" s="39">
        <f>(K120+R120*PaybackYears)/(ContribMargin*SumRamp)</f>
        <v>817205.022832621</v>
      </c>
      <c r="W120" s="75" t="str">
        <f>IF(V120&lt;=P120,"Yes","No")</f>
        <v>No</v>
      </c>
      <c r="X120" s="82">
        <f>IF(MixSource="Melbourne: full store P&amp;L",IF(U120="Yes",1,0),IF(J120="Yes",1,0))</f>
        <v>1</v>
      </c>
      <c r="Y120" s="105">
        <f>X120*1000000000+E120</f>
        <v>1001373849</v>
      </c>
      <c r="Z120" s="82">
        <f>1+COUNTIFS($G$58:$G$135,G120,$Y$58:$Y$135,"&gt;"&amp;Y120)+COUNTIFS($G$58:$G$135,G120,$Y$58:$Y$135,Y120,$A$58:$A$135,"&lt;"&amp;A120)</f>
        <v>15</v>
      </c>
      <c r="AA120" s="69" t="str">
        <f>G120&amp;"|"&amp;Z120</f>
        <v>D|15</v>
      </c>
    </row>
    <row r="121">
      <c r="A121" s="102" t="n">
        <v>27</v>
      </c>
      <c r="B121" s="8" t="inlineStr">
        <is>
          <t>QV Market-Peel St</t>
        </is>
      </c>
      <c r="C121" s="8" t="inlineStr">
        <is>
          <t>Destination Retail</t>
        </is>
      </c>
      <c r="D121" s="103" t="n">
        <v>3266.0842</v>
      </c>
      <c r="E121" s="103" t="n">
        <v>1337736</v>
      </c>
      <c r="F121" s="104" t="inlineStr">
        <is>
          <t>D</t>
        </is>
      </c>
      <c r="G121" s="14" t="str">
        <f>IF(D121&gt;=FlagshipBar,IF(OR(C121="Destination Retail",C121="Evening / Entertainment",C121="CBD Core / All-Day"),"SPLUS",IF(C121="Low Activity","D","S")),IF(D121&gt;=StandardBar,IF(OR(C121="Office / Weekday Core",C121="Low Activity"),"D","S"),"D"))</f>
        <v>D</v>
      </c>
      <c r="H121" s="39">
        <f>INDEX(PilotBuild,MATCH(G121,TierCodes,0))</f>
        <v>453040</v>
      </c>
      <c r="I121" s="41">
        <f>H121/(PaybackYears*Ticket*Conversion*DashMargin)/E121</f>
        <v>0.0282218115781689</v>
      </c>
      <c r="J121" s="75" t="str">
        <f>IF(I121&lt;=Capture,"Yes","No")</f>
        <v>Yes</v>
      </c>
      <c r="K121" s="39">
        <f>INDEX(AtScale,MATCH(G121,TierCodes,0))</f>
        <v>388970.217516837</v>
      </c>
      <c r="L121" s="41">
        <f>K121/(PaybackYears*Ticket*Conversion*DashMargin)/E121</f>
        <v>0.024230629057654</v>
      </c>
      <c r="M121" s="75" t="str">
        <f>IF(L121&lt;=Capture,"Yes","No")</f>
        <v>Yes</v>
      </c>
      <c r="N121" s="86">
        <f>INDEX(ArchFactor,MATCH(C121,ArchNames,0))</f>
        <v>1.2</v>
      </c>
      <c r="O121" s="41">
        <f>Capture*N121</f>
        <v>0.036</v>
      </c>
      <c r="P121" s="39">
        <f>MIN(E121*O121*Conversion*Ticket,INDEX(CapacityPsf,MATCH(G121,TierCodes,0))*INDEX(Area,MATCH(G121,TierCodes,0)))</f>
        <v>770535.936</v>
      </c>
      <c r="Q121" s="39">
        <f>INDEX(Area,MATCH(G121,TierCodes,0))*RentPsf*(E121/Fref)^RentElasticity</f>
        <v>49007.165620954</v>
      </c>
      <c r="R121" s="39">
        <f>Q121+INDEX(RunOther,MATCH(G121,TierCodes,0))+INDEX(LicPlan,MATCH(G121,TierCodes,0))</f>
        <v>255095.594954287</v>
      </c>
      <c r="S121" s="39">
        <f>(H121+R121*PaybackYears)/(ContribMargin*SumRamp)</f>
        <v>860947.484179819</v>
      </c>
      <c r="T121" s="41">
        <f>S121/(E121*Conversion*Ticket)</f>
        <v>0.040224093364639</v>
      </c>
      <c r="U121" s="75" t="str">
        <f>IF(S121&lt;=P121,"Yes","No")</f>
        <v>No</v>
      </c>
      <c r="V121" s="39">
        <f>(K121+R121*PaybackYears)/(ContribMargin*SumRamp)</f>
        <v>815671.685661578</v>
      </c>
      <c r="W121" s="75" t="str">
        <f>IF(V121&lt;=P121,"Yes","No")</f>
        <v>No</v>
      </c>
      <c r="X121" s="82">
        <f>IF(MixSource="Melbourne: full store P&amp;L",IF(U121="Yes",1,0),IF(J121="Yes",1,0))</f>
        <v>1</v>
      </c>
      <c r="Y121" s="105">
        <f>X121*1000000000+E121</f>
        <v>1001337736</v>
      </c>
      <c r="Z121" s="82">
        <f>1+COUNTIFS($G$58:$G$135,G121,$Y$58:$Y$135,"&gt;"&amp;Y121)+COUNTIFS($G$58:$G$135,G121,$Y$58:$Y$135,Y121,$A$58:$A$135,"&lt;"&amp;A121)</f>
        <v>16</v>
      </c>
      <c r="AA121" s="69" t="str">
        <f>G121&amp;"|"&amp;Z121</f>
        <v>D|16</v>
      </c>
    </row>
    <row r="122">
      <c r="A122" s="102" t="n">
        <v>11</v>
      </c>
      <c r="B122" s="8" t="inlineStr">
        <is>
          <t>Docklands Waterfront City Building Side</t>
        </is>
      </c>
      <c r="C122" s="8" t="inlineStr">
        <is>
          <t>Evening / Entertainment</t>
        </is>
      </c>
      <c r="D122" s="103" t="n">
        <v>2853.5786</v>
      </c>
      <c r="E122" s="103" t="n">
        <v>1175261</v>
      </c>
      <c r="F122" s="104" t="inlineStr">
        <is>
          <t>D</t>
        </is>
      </c>
      <c r="G122" s="14" t="str">
        <f>IF(D122&gt;=FlagshipBar,IF(OR(C122="Destination Retail",C122="Evening / Entertainment",C122="CBD Core / All-Day"),"SPLUS",IF(C122="Low Activity","D","S")),IF(D122&gt;=StandardBar,IF(OR(C122="Office / Weekday Core",C122="Low Activity"),"D","S"),"D"))</f>
        <v>D</v>
      </c>
      <c r="H122" s="39">
        <f>INDEX(PilotBuild,MATCH(G122,TierCodes,0))</f>
        <v>453040</v>
      </c>
      <c r="I122" s="41">
        <f>H122/(PaybackYears*Ticket*Conversion*DashMargin)/E122</f>
        <v>0.0321233609669115</v>
      </c>
      <c r="J122" s="75" t="str">
        <f>IF(I122&lt;=Capture,"Yes","No")</f>
        <v>No</v>
      </c>
      <c r="K122" s="39">
        <f>INDEX(AtScale,MATCH(G122,TierCodes,0))</f>
        <v>388970.217516837</v>
      </c>
      <c r="L122" s="41">
        <f>K122/(PaybackYears*Ticket*Conversion*DashMargin)/E122</f>
        <v>0.0275804138766366</v>
      </c>
      <c r="M122" s="75" t="str">
        <f>IF(L122&lt;=Capture,"Yes","No")</f>
        <v>Yes</v>
      </c>
      <c r="N122" s="86">
        <f>INDEX(ArchFactor,MATCH(C122,ArchNames,0))</f>
        <v>1.1</v>
      </c>
      <c r="O122" s="41">
        <f>Capture*N122</f>
        <v>0.033</v>
      </c>
      <c r="P122" s="39">
        <f>MIN(E122*O122*Conversion*Ticket,INDEX(CapacityPsf,MATCH(G122,TierCodes,0))*INDEX(Area,MATCH(G122,TierCodes,0)))</f>
        <v>620537.808</v>
      </c>
      <c r="Q122" s="39">
        <f>INDEX(Area,MATCH(G122,TierCodes,0))*RentPsf*(E122/Fref)^RentElasticity</f>
        <v>45638.3291209722</v>
      </c>
      <c r="R122" s="39">
        <f>Q122+INDEX(RunOther,MATCH(G122,TierCodes,0))+INDEX(LicPlan,MATCH(G122,TierCodes,0))</f>
        <v>251726.758454306</v>
      </c>
      <c r="S122" s="39">
        <f>(H122+R122*PaybackYears)/(ContribMargin*SumRamp)</f>
        <v>853805.579367477</v>
      </c>
      <c r="T122" s="41">
        <f>S122/(E122*Conversion*Ticket)</f>
        <v>0.0454051046622557</v>
      </c>
      <c r="U122" s="75" t="str">
        <f>IF(S122&lt;=P122,"Yes","No")</f>
        <v>No</v>
      </c>
      <c r="V122" s="39">
        <f>(K122+R122*PaybackYears)/(ContribMargin*SumRamp)</f>
        <v>808529.780849236</v>
      </c>
      <c r="W122" s="75" t="str">
        <f>IF(V122&lt;=P122,"Yes","No")</f>
        <v>No</v>
      </c>
      <c r="X122" s="82">
        <f>IF(MixSource="Melbourne: full store P&amp;L",IF(U122="Yes",1,0),IF(J122="Yes",1,0))</f>
        <v>0</v>
      </c>
      <c r="Y122" s="105">
        <f>X122*1000000000+E122</f>
        <v>1175261</v>
      </c>
      <c r="Z122" s="82">
        <f>1+COUNTIFS($G$58:$G$135,G122,$Y$58:$Y$135,"&gt;"&amp;Y122)+COUNTIFS($G$58:$G$135,G122,$Y$58:$Y$135,Y122,$A$58:$A$135,"&lt;"&amp;A122)</f>
        <v>17</v>
      </c>
      <c r="AA122" s="69" t="str">
        <f>G122&amp;"|"&amp;Z122</f>
        <v>D|17</v>
      </c>
    </row>
    <row r="123">
      <c r="A123" s="102" t="n">
        <v>51</v>
      </c>
      <c r="B123" s="8" t="inlineStr">
        <is>
          <t>QVM-Franklin St (North)</t>
        </is>
      </c>
      <c r="C123" s="8" t="inlineStr">
        <is>
          <t>Destination Retail</t>
        </is>
      </c>
      <c r="D123" s="103" t="n">
        <v>2763.959</v>
      </c>
      <c r="E123" s="103" t="n">
        <v>1050313</v>
      </c>
      <c r="F123" s="104" t="inlineStr">
        <is>
          <t>D</t>
        </is>
      </c>
      <c r="G123" s="14" t="str">
        <f>IF(D123&gt;=FlagshipBar,IF(OR(C123="Destination Retail",C123="Evening / Entertainment",C123="CBD Core / All-Day"),"SPLUS",IF(C123="Low Activity","D","S")),IF(D123&gt;=StandardBar,IF(OR(C123="Office / Weekday Core",C123="Low Activity"),"D","S"),"D"))</f>
        <v>D</v>
      </c>
      <c r="H123" s="39">
        <f>INDEX(PilotBuild,MATCH(G123,TierCodes,0))</f>
        <v>453040</v>
      </c>
      <c r="I123" s="41">
        <f>H123/(PaybackYears*Ticket*Conversion*DashMargin)/E123</f>
        <v>0.0359448405697476</v>
      </c>
      <c r="J123" s="75" t="str">
        <f>IF(I123&lt;=Capture,"Yes","No")</f>
        <v>No</v>
      </c>
      <c r="K123" s="39">
        <f>INDEX(AtScale,MATCH(G123,TierCodes,0))</f>
        <v>388970.217516837</v>
      </c>
      <c r="L123" s="41">
        <f>K123/(PaybackYears*Ticket*Conversion*DashMargin)/E123</f>
        <v>0.0308614525318355</v>
      </c>
      <c r="M123" s="75" t="str">
        <f>IF(L123&lt;=Capture,"Yes","No")</f>
        <v>No</v>
      </c>
      <c r="N123" s="86">
        <f>INDEX(ArchFactor,MATCH(C123,ArchNames,0))</f>
        <v>1.2</v>
      </c>
      <c r="O123" s="41">
        <f>Capture*N123</f>
        <v>0.036</v>
      </c>
      <c r="P123" s="39">
        <f>MIN(E123*O123*Conversion*Ticket,INDEX(CapacityPsf,MATCH(G123,TierCodes,0))*INDEX(Area,MATCH(G123,TierCodes,0)))</f>
        <v>604980.288</v>
      </c>
      <c r="Q123" s="39">
        <f>INDEX(Area,MATCH(G123,TierCodes,0))*RentPsf*(E123/Fref)^RentElasticity</f>
        <v>42902.3582279702</v>
      </c>
      <c r="R123" s="39">
        <f>Q123+INDEX(RunOther,MATCH(G123,TierCodes,0))+INDEX(LicPlan,MATCH(G123,TierCodes,0))</f>
        <v>248990.787561303</v>
      </c>
      <c r="S123" s="39">
        <f>(H123+R123*PaybackYears)/(ContribMargin*SumRamp)</f>
        <v>848005.344275253</v>
      </c>
      <c r="T123" s="41">
        <f>S123/(E123*Conversion*Ticket)</f>
        <v>0.0504614662650118</v>
      </c>
      <c r="U123" s="75" t="str">
        <f>IF(S123&lt;=P123,"Yes","No")</f>
        <v>No</v>
      </c>
      <c r="V123" s="39">
        <f>(K123+R123*PaybackYears)/(ContribMargin*SumRamp)</f>
        <v>802729.545757012</v>
      </c>
      <c r="W123" s="75" t="str">
        <f>IF(V123&lt;=P123,"Yes","No")</f>
        <v>No</v>
      </c>
      <c r="X123" s="82">
        <f>IF(MixSource="Melbourne: full store P&amp;L",IF(U123="Yes",1,0),IF(J123="Yes",1,0))</f>
        <v>0</v>
      </c>
      <c r="Y123" s="105">
        <f>X123*1000000000+E123</f>
        <v>1050313</v>
      </c>
      <c r="Z123" s="82">
        <f>1+COUNTIFS($G$58:$G$135,G123,$Y$58:$Y$135,"&gt;"&amp;Y123)+COUNTIFS($G$58:$G$135,G123,$Y$58:$Y$135,Y123,$A$58:$A$135,"&lt;"&amp;A123)</f>
        <v>18</v>
      </c>
      <c r="AA123" s="69" t="str">
        <f>G123&amp;"|"&amp;Z123</f>
        <v>D|18</v>
      </c>
    </row>
    <row r="124">
      <c r="A124" s="102" t="n">
        <v>164</v>
      </c>
      <c r="B124" s="8" t="inlineStr">
        <is>
          <t>I-Hub 526 La Trobe Street (Footpath)</t>
        </is>
      </c>
      <c r="C124" s="8" t="inlineStr">
        <is>
          <t>CBD Core / All-Day</t>
        </is>
      </c>
      <c r="D124" s="103" t="n">
        <v>2964.4325</v>
      </c>
      <c r="E124" s="103" t="n">
        <v>1050155</v>
      </c>
      <c r="F124" s="104" t="inlineStr">
        <is>
          <t>D</t>
        </is>
      </c>
      <c r="G124" s="14" t="str">
        <f>IF(D124&gt;=FlagshipBar,IF(OR(C124="Destination Retail",C124="Evening / Entertainment",C124="CBD Core / All-Day"),"SPLUS",IF(C124="Low Activity","D","S")),IF(D124&gt;=StandardBar,IF(OR(C124="Office / Weekday Core",C124="Low Activity"),"D","S"),"D"))</f>
        <v>D</v>
      </c>
      <c r="H124" s="39">
        <f>INDEX(PilotBuild,MATCH(G124,TierCodes,0))</f>
        <v>453040</v>
      </c>
      <c r="I124" s="41">
        <f>H124/(PaybackYears*Ticket*Conversion*DashMargin)/E124</f>
        <v>0.0359502486140935</v>
      </c>
      <c r="J124" s="75" t="str">
        <f>IF(I124&lt;=Capture,"Yes","No")</f>
        <v>No</v>
      </c>
      <c r="K124" s="39">
        <f>INDEX(AtScale,MATCH(G124,TierCodes,0))</f>
        <v>388970.217516837</v>
      </c>
      <c r="L124" s="41">
        <f>K124/(PaybackYears*Ticket*Conversion*DashMargin)/E124</f>
        <v>0.0308660957602161</v>
      </c>
      <c r="M124" s="75" t="str">
        <f>IF(L124&lt;=Capture,"Yes","No")</f>
        <v>No</v>
      </c>
      <c r="N124" s="86">
        <f>INDEX(ArchFactor,MATCH(C124,ArchNames,0))</f>
        <v>1</v>
      </c>
      <c r="O124" s="41">
        <f>Capture*N124</f>
        <v>0.03</v>
      </c>
      <c r="P124" s="39">
        <f>MIN(E124*O124*Conversion*Ticket,INDEX(CapacityPsf,MATCH(G124,TierCodes,0))*INDEX(Area,MATCH(G124,TierCodes,0)))</f>
        <v>504074.4</v>
      </c>
      <c r="Q124" s="39">
        <f>INDEX(Area,MATCH(G124,TierCodes,0))*RentPsf*(E124/Fref)^RentElasticity</f>
        <v>42898.8084850571</v>
      </c>
      <c r="R124" s="39">
        <f>Q124+INDEX(RunOther,MATCH(G124,TierCodes,0))+INDEX(LicPlan,MATCH(G124,TierCodes,0))</f>
        <v>248987.23781839</v>
      </c>
      <c r="S124" s="39">
        <f>(H124+R124*PaybackYears)/(ContribMargin*SumRamp)</f>
        <v>847997.818850379</v>
      </c>
      <c r="T124" s="41">
        <f>S124/(E124*Conversion*Ticket)</f>
        <v>0.0504686105176366</v>
      </c>
      <c r="U124" s="75" t="str">
        <f>IF(S124&lt;=P124,"Yes","No")</f>
        <v>No</v>
      </c>
      <c r="V124" s="39">
        <f>(K124+R124*PaybackYears)/(ContribMargin*SumRamp)</f>
        <v>802722.020332138</v>
      </c>
      <c r="W124" s="75" t="str">
        <f>IF(V124&lt;=P124,"Yes","No")</f>
        <v>No</v>
      </c>
      <c r="X124" s="82">
        <f>IF(MixSource="Melbourne: full store P&amp;L",IF(U124="Yes",1,0),IF(J124="Yes",1,0))</f>
        <v>0</v>
      </c>
      <c r="Y124" s="105">
        <f>X124*1000000000+E124</f>
        <v>1050155</v>
      </c>
      <c r="Z124" s="82">
        <f>1+COUNTIFS($G$58:$G$135,G124,$Y$58:$Y$135,"&gt;"&amp;Y124)+COUNTIFS($G$58:$G$135,G124,$Y$58:$Y$135,Y124,$A$58:$A$135,"&lt;"&amp;A124)</f>
        <v>19</v>
      </c>
      <c r="AA124" s="69" t="str">
        <f>G124&amp;"|"&amp;Z124</f>
        <v>D|19</v>
      </c>
    </row>
    <row r="125">
      <c r="A125" s="102" t="n">
        <v>87</v>
      </c>
      <c r="B125" s="8" t="inlineStr">
        <is>
          <t>Errol St (West)</t>
        </is>
      </c>
      <c r="C125" s="8" t="inlineStr">
        <is>
          <t>CBD Core / All-Day</t>
        </is>
      </c>
      <c r="D125" s="103" t="n">
        <v>2815.7091</v>
      </c>
      <c r="E125" s="103" t="n">
        <v>998978</v>
      </c>
      <c r="F125" s="104" t="inlineStr">
        <is>
          <t>D</t>
        </is>
      </c>
      <c r="G125" s="14" t="str">
        <f>IF(D125&gt;=FlagshipBar,IF(OR(C125="Destination Retail",C125="Evening / Entertainment",C125="CBD Core / All-Day"),"SPLUS",IF(C125="Low Activity","D","S")),IF(D125&gt;=StandardBar,IF(OR(C125="Office / Weekday Core",C125="Low Activity"),"D","S"),"D"))</f>
        <v>D</v>
      </c>
      <c r="H125" s="39">
        <f>INDEX(PilotBuild,MATCH(G125,TierCodes,0))</f>
        <v>453040</v>
      </c>
      <c r="I125" s="41">
        <f>H125/(PaybackYears*Ticket*Conversion*DashMargin)/E125</f>
        <v>0.0377919567130941</v>
      </c>
      <c r="J125" s="75" t="str">
        <f>IF(I125&lt;=Capture,"Yes","No")</f>
        <v>No</v>
      </c>
      <c r="K125" s="39">
        <f>INDEX(AtScale,MATCH(G125,TierCodes,0))</f>
        <v>388970.217516837</v>
      </c>
      <c r="L125" s="41">
        <f>K125/(PaybackYears*Ticket*Conversion*DashMargin)/E125</f>
        <v>0.032447345980662</v>
      </c>
      <c r="M125" s="75" t="str">
        <f>IF(L125&lt;=Capture,"Yes","No")</f>
        <v>No</v>
      </c>
      <c r="N125" s="86">
        <f>INDEX(ArchFactor,MATCH(C125,ArchNames,0))</f>
        <v>1</v>
      </c>
      <c r="O125" s="41">
        <f>Capture*N125</f>
        <v>0.03</v>
      </c>
      <c r="P125" s="39">
        <f>MIN(E125*O125*Conversion*Ticket,INDEX(CapacityPsf,MATCH(G125,TierCodes,0))*INDEX(Area,MATCH(G125,TierCodes,0)))</f>
        <v>479509.44</v>
      </c>
      <c r="Q125" s="39">
        <f>INDEX(Area,MATCH(G125,TierCodes,0))*RentPsf*(E125/Fref)^RentElasticity</f>
        <v>41736.0761006898</v>
      </c>
      <c r="R125" s="39">
        <f>Q125+INDEX(RunOther,MATCH(G125,TierCodes,0))+INDEX(LicPlan,MATCH(G125,TierCodes,0))</f>
        <v>247824.505434023</v>
      </c>
      <c r="S125" s="39">
        <f>(H125+R125*PaybackYears)/(ContribMargin*SumRamp)</f>
        <v>845532.836055452</v>
      </c>
      <c r="T125" s="41">
        <f>S125/(E125*Conversion*Ticket)</f>
        <v>0.0528998659164323</v>
      </c>
      <c r="U125" s="75" t="str">
        <f>IF(S125&lt;=P125,"Yes","No")</f>
        <v>No</v>
      </c>
      <c r="V125" s="39">
        <f>(K125+R125*PaybackYears)/(ContribMargin*SumRamp)</f>
        <v>800257.037537211</v>
      </c>
      <c r="W125" s="75" t="str">
        <f>IF(V125&lt;=P125,"Yes","No")</f>
        <v>No</v>
      </c>
      <c r="X125" s="82">
        <f>IF(MixSource="Melbourne: full store P&amp;L",IF(U125="Yes",1,0),IF(J125="Yes",1,0))</f>
        <v>0</v>
      </c>
      <c r="Y125" s="105">
        <f>X125*1000000000+E125</f>
        <v>998978</v>
      </c>
      <c r="Z125" s="82">
        <f>1+COUNTIFS($G$58:$G$135,G125,$Y$58:$Y$135,"&gt;"&amp;Y125)+COUNTIFS($G$58:$G$135,G125,$Y$58:$Y$135,Y125,$A$58:$A$135,"&lt;"&amp;A125)</f>
        <v>20</v>
      </c>
      <c r="AA125" s="69" t="str">
        <f>G125&amp;"|"&amp;Z125</f>
        <v>D|20</v>
      </c>
    </row>
    <row r="126">
      <c r="A126" s="102" t="n">
        <v>10</v>
      </c>
      <c r="B126" s="8" t="inlineStr">
        <is>
          <t>Victoria Point</t>
        </is>
      </c>
      <c r="C126" s="8" t="inlineStr">
        <is>
          <t>Commuter Corridor</t>
        </is>
      </c>
      <c r="D126" s="103" t="n">
        <v>2678.1168</v>
      </c>
      <c r="E126" s="103" t="n">
        <v>873485</v>
      </c>
      <c r="F126" s="104" t="inlineStr">
        <is>
          <t>D</t>
        </is>
      </c>
      <c r="G126" s="14" t="str">
        <f>IF(D126&gt;=FlagshipBar,IF(OR(C126="Destination Retail",C126="Evening / Entertainment",C126="CBD Core / All-Day"),"SPLUS",IF(C126="Low Activity","D","S")),IF(D126&gt;=StandardBar,IF(OR(C126="Office / Weekday Core",C126="Low Activity"),"D","S"),"D"))</f>
        <v>D</v>
      </c>
      <c r="H126" s="39">
        <f>INDEX(PilotBuild,MATCH(G126,TierCodes,0))</f>
        <v>453040</v>
      </c>
      <c r="I126" s="41">
        <f>H126/(PaybackYears*Ticket*Conversion*DashMargin)/E126</f>
        <v>0.0432215016094533</v>
      </c>
      <c r="J126" s="75" t="str">
        <f>IF(I126&lt;=Capture,"Yes","No")</f>
        <v>No</v>
      </c>
      <c r="K126" s="39">
        <f>INDEX(AtScale,MATCH(G126,TierCodes,0))</f>
        <v>388970.217516837</v>
      </c>
      <c r="L126" s="41">
        <f>K126/(PaybackYears*Ticket*Conversion*DashMargin)/E126</f>
        <v>0.037109034262832</v>
      </c>
      <c r="M126" s="75" t="str">
        <f>IF(L126&lt;=Capture,"Yes","No")</f>
        <v>No</v>
      </c>
      <c r="N126" s="86">
        <f>INDEX(ArchFactor,MATCH(C126,ArchNames,0))</f>
        <v>0.5</v>
      </c>
      <c r="O126" s="41">
        <f>Capture*N126</f>
        <v>0.015</v>
      </c>
      <c r="P126" s="39">
        <f>MIN(E126*O126*Conversion*Ticket,INDEX(CapacityPsf,MATCH(G126,TierCodes,0))*INDEX(Area,MATCH(G126,TierCodes,0)))</f>
        <v>209636.4</v>
      </c>
      <c r="Q126" s="39">
        <f>INDEX(Area,MATCH(G126,TierCodes,0))*RentPsf*(E126/Fref)^RentElasticity</f>
        <v>38765.5862025965</v>
      </c>
      <c r="R126" s="39">
        <f>Q126+INDEX(RunOther,MATCH(G126,TierCodes,0))+INDEX(LicPlan,MATCH(G126,TierCodes,0))</f>
        <v>244854.01553593</v>
      </c>
      <c r="S126" s="39">
        <f>(H126+R126*PaybackYears)/(ContribMargin*SumRamp)</f>
        <v>839235.422661147</v>
      </c>
      <c r="T126" s="41">
        <f>S126/(E126*Conversion*Ticket)</f>
        <v>0.0600493585079557</v>
      </c>
      <c r="U126" s="75" t="str">
        <f>IF(S126&lt;=P126,"Yes","No")</f>
        <v>No</v>
      </c>
      <c r="V126" s="39">
        <f>(K126+R126*PaybackYears)/(ContribMargin*SumRamp)</f>
        <v>793959.624142907</v>
      </c>
      <c r="W126" s="75" t="str">
        <f>IF(V126&lt;=P126,"Yes","No")</f>
        <v>No</v>
      </c>
      <c r="X126" s="82">
        <f>IF(MixSource="Melbourne: full store P&amp;L",IF(U126="Yes",1,0),IF(J126="Yes",1,0))</f>
        <v>0</v>
      </c>
      <c r="Y126" s="105">
        <f>X126*1000000000+E126</f>
        <v>873485</v>
      </c>
      <c r="Z126" s="82">
        <f>1+COUNTIFS($G$58:$G$135,G126,$Y$58:$Y$135,"&gt;"&amp;Y126)+COUNTIFS($G$58:$G$135,G126,$Y$58:$Y$135,Y126,$A$58:$A$135,"&lt;"&amp;A126)</f>
        <v>21</v>
      </c>
      <c r="AA126" s="69" t="str">
        <f>G126&amp;"|"&amp;Z126</f>
        <v>D|21</v>
      </c>
    </row>
    <row r="127">
      <c r="A127" s="102" t="n">
        <v>85</v>
      </c>
      <c r="B127" s="8" t="inlineStr">
        <is>
          <t>Macaulay Rd (North)</t>
        </is>
      </c>
      <c r="C127" s="8" t="inlineStr">
        <is>
          <t>Transit Spine</t>
        </is>
      </c>
      <c r="D127" s="103" t="n">
        <v>2423.2949</v>
      </c>
      <c r="E127" s="103" t="n">
        <v>856791</v>
      </c>
      <c r="F127" s="104" t="inlineStr">
        <is>
          <t>D</t>
        </is>
      </c>
      <c r="G127" s="14" t="str">
        <f>IF(D127&gt;=FlagshipBar,IF(OR(C127="Destination Retail",C127="Evening / Entertainment",C127="CBD Core / All-Day"),"SPLUS",IF(C127="Low Activity","D","S")),IF(D127&gt;=StandardBar,IF(OR(C127="Office / Weekday Core",C127="Low Activity"),"D","S"),"D"))</f>
        <v>D</v>
      </c>
      <c r="H127" s="39">
        <f>INDEX(PilotBuild,MATCH(G127,TierCodes,0))</f>
        <v>453040</v>
      </c>
      <c r="I127" s="41">
        <f>H127/(PaybackYears*Ticket*Conversion*DashMargin)/E127</f>
        <v>0.0440636436812867</v>
      </c>
      <c r="J127" s="75" t="str">
        <f>IF(I127&lt;=Capture,"Yes","No")</f>
        <v>No</v>
      </c>
      <c r="K127" s="39">
        <f>INDEX(AtScale,MATCH(G127,TierCodes,0))</f>
        <v>388970.217516837</v>
      </c>
      <c r="L127" s="41">
        <f>K127/(PaybackYears*Ticket*Conversion*DashMargin)/E127</f>
        <v>0.037832078993675</v>
      </c>
      <c r="M127" s="75" t="str">
        <f>IF(L127&lt;=Capture,"Yes","No")</f>
        <v>No</v>
      </c>
      <c r="N127" s="86">
        <f>INDEX(ArchFactor,MATCH(C127,ArchNames,0))</f>
        <v>0.6</v>
      </c>
      <c r="O127" s="41">
        <f>Capture*N127</f>
        <v>0.018</v>
      </c>
      <c r="P127" s="39">
        <f>MIN(E127*O127*Conversion*Ticket,INDEX(CapacityPsf,MATCH(G127,TierCodes,0))*INDEX(Area,MATCH(G127,TierCodes,0)))</f>
        <v>246755.808</v>
      </c>
      <c r="Q127" s="39">
        <f>INDEX(Area,MATCH(G127,TierCodes,0))*RentPsf*(E127/Fref)^RentElasticity</f>
        <v>38356.3303225425</v>
      </c>
      <c r="R127" s="39">
        <f>Q127+INDEX(RunOther,MATCH(G127,TierCodes,0))+INDEX(LicPlan,MATCH(G127,TierCodes,0))</f>
        <v>244444.759655876</v>
      </c>
      <c r="S127" s="39">
        <f>(H127+R127*PaybackYears)/(ContribMargin*SumRamp)</f>
        <v>838367.803665909</v>
      </c>
      <c r="T127" s="41">
        <f>S127/(E127*Conversion*Ticket)</f>
        <v>0.0611560902590238</v>
      </c>
      <c r="U127" s="75" t="str">
        <f>IF(S127&lt;=P127,"Yes","No")</f>
        <v>No</v>
      </c>
      <c r="V127" s="39">
        <f>(K127+R127*PaybackYears)/(ContribMargin*SumRamp)</f>
        <v>793092.005147668</v>
      </c>
      <c r="W127" s="75" t="str">
        <f>IF(V127&lt;=P127,"Yes","No")</f>
        <v>No</v>
      </c>
      <c r="X127" s="82">
        <f>IF(MixSource="Melbourne: full store P&amp;L",IF(U127="Yes",1,0),IF(J127="Yes",1,0))</f>
        <v>0</v>
      </c>
      <c r="Y127" s="105">
        <f>X127*1000000000+E127</f>
        <v>856791</v>
      </c>
      <c r="Z127" s="82">
        <f>1+COUNTIFS($G$58:$G$135,G127,$Y$58:$Y$135,"&gt;"&amp;Y127)+COUNTIFS($G$58:$G$135,G127,$Y$58:$Y$135,Y127,$A$58:$A$135,"&lt;"&amp;A127)</f>
        <v>22</v>
      </c>
      <c r="AA127" s="69" t="str">
        <f>G127&amp;"|"&amp;Z127</f>
        <v>D|22</v>
      </c>
    </row>
    <row r="128">
      <c r="A128" s="102" t="n">
        <v>139</v>
      </c>
      <c r="B128" s="8" t="inlineStr">
        <is>
          <t>COM Pole 1647 - Sandridge Bridge Signal Box</t>
        </is>
      </c>
      <c r="C128" s="8" t="inlineStr">
        <is>
          <t>Commuter Corridor</t>
        </is>
      </c>
      <c r="D128" s="103" t="n">
        <v>2380.4551</v>
      </c>
      <c r="E128" s="103" t="n">
        <v>764003</v>
      </c>
      <c r="F128" s="104" t="inlineStr">
        <is>
          <t>D</t>
        </is>
      </c>
      <c r="G128" s="14" t="str">
        <f>IF(D128&gt;=FlagshipBar,IF(OR(C128="Destination Retail",C128="Evening / Entertainment",C128="CBD Core / All-Day"),"SPLUS",IF(C128="Low Activity","D","S")),IF(D128&gt;=StandardBar,IF(OR(C128="Office / Weekday Core",C128="Low Activity"),"D","S"),"D"))</f>
        <v>D</v>
      </c>
      <c r="H128" s="39">
        <f>INDEX(PilotBuild,MATCH(G128,TierCodes,0))</f>
        <v>453040</v>
      </c>
      <c r="I128" s="41">
        <f>H128/(PaybackYears*Ticket*Conversion*DashMargin)/E128</f>
        <v>0.0494151637275421</v>
      </c>
      <c r="J128" s="75" t="str">
        <f>IF(I128&lt;=Capture,"Yes","No")</f>
        <v>No</v>
      </c>
      <c r="K128" s="39">
        <f>INDEX(AtScale,MATCH(G128,TierCodes,0))</f>
        <v>388970.217516837</v>
      </c>
      <c r="L128" s="41">
        <f>K128/(PaybackYears*Ticket*Conversion*DashMargin)/E128</f>
        <v>0.0424267768491351</v>
      </c>
      <c r="M128" s="75" t="str">
        <f>IF(L128&lt;=Capture,"Yes","No")</f>
        <v>No</v>
      </c>
      <c r="N128" s="86">
        <f>INDEX(ArchFactor,MATCH(C128,ArchNames,0))</f>
        <v>0.5</v>
      </c>
      <c r="O128" s="41">
        <f>Capture*N128</f>
        <v>0.015</v>
      </c>
      <c r="P128" s="39">
        <f>MIN(E128*O128*Conversion*Ticket,INDEX(CapacityPsf,MATCH(G128,TierCodes,0))*INDEX(Area,MATCH(G128,TierCodes,0)))</f>
        <v>183360.72</v>
      </c>
      <c r="Q128" s="39">
        <f>INDEX(Area,MATCH(G128,TierCodes,0))*RentPsf*(E128/Fref)^RentElasticity</f>
        <v>36012.9039329501</v>
      </c>
      <c r="R128" s="39">
        <f>Q128+INDEX(RunOther,MATCH(G128,TierCodes,0))+INDEX(LicPlan,MATCH(G128,TierCodes,0))</f>
        <v>242101.333266283</v>
      </c>
      <c r="S128" s="39">
        <f>(H128+R128*PaybackYears)/(ContribMargin*SumRamp)</f>
        <v>833399.759592149</v>
      </c>
      <c r="T128" s="41">
        <f>S128/(E128*Conversion*Ticket)</f>
        <v>0.0681770686430673</v>
      </c>
      <c r="U128" s="75" t="str">
        <f>IF(S128&lt;=P128,"Yes","No")</f>
        <v>No</v>
      </c>
      <c r="V128" s="39">
        <f>(K128+R128*PaybackYears)/(ContribMargin*SumRamp)</f>
        <v>788123.961073908</v>
      </c>
      <c r="W128" s="75" t="str">
        <f>IF(V128&lt;=P128,"Yes","No")</f>
        <v>No</v>
      </c>
      <c r="X128" s="82">
        <f>IF(MixSource="Melbourne: full store P&amp;L",IF(U128="Yes",1,0),IF(J128="Yes",1,0))</f>
        <v>0</v>
      </c>
      <c r="Y128" s="105">
        <f>X128*1000000000+E128</f>
        <v>764003</v>
      </c>
      <c r="Z128" s="82">
        <f>1+COUNTIFS($G$58:$G$135,G128,$Y$58:$Y$135,"&gt;"&amp;Y128)+COUNTIFS($G$58:$G$135,G128,$Y$58:$Y$135,Y128,$A$58:$A$135,"&lt;"&amp;A128)</f>
        <v>23</v>
      </c>
      <c r="AA128" s="69" t="str">
        <f>G128&amp;"|"&amp;Z128</f>
        <v>D|23</v>
      </c>
    </row>
    <row r="129">
      <c r="A129" s="102" t="n">
        <v>44</v>
      </c>
      <c r="B129" s="8" t="inlineStr">
        <is>
          <t>Tin Alley-Swanston St (West)</t>
        </is>
      </c>
      <c r="C129" s="8" t="inlineStr">
        <is>
          <t>Office / Weekday Core</t>
        </is>
      </c>
      <c r="D129" s="103" t="n">
        <v>2253.4091</v>
      </c>
      <c r="E129" s="103" t="n">
        <v>703448</v>
      </c>
      <c r="F129" s="104" t="inlineStr">
        <is>
          <t>D</t>
        </is>
      </c>
      <c r="G129" s="14" t="str">
        <f>IF(D129&gt;=FlagshipBar,IF(OR(C129="Destination Retail",C129="Evening / Entertainment",C129="CBD Core / All-Day"),"SPLUS",IF(C129="Low Activity","D","S")),IF(D129&gt;=StandardBar,IF(OR(C129="Office / Weekday Core",C129="Low Activity"),"D","S"),"D"))</f>
        <v>D</v>
      </c>
      <c r="H129" s="39">
        <f>INDEX(PilotBuild,MATCH(G129,TierCodes,0))</f>
        <v>453040</v>
      </c>
      <c r="I129" s="41">
        <f>H129/(PaybackYears*Ticket*Conversion*DashMargin)/E129</f>
        <v>0.053668975295023</v>
      </c>
      <c r="J129" s="75" t="str">
        <f>IF(I129&lt;=Capture,"Yes","No")</f>
        <v>No</v>
      </c>
      <c r="K129" s="39">
        <f>INDEX(AtScale,MATCH(G129,TierCodes,0))</f>
        <v>388970.217516837</v>
      </c>
      <c r="L129" s="41">
        <f>K129/(PaybackYears*Ticket*Conversion*DashMargin)/E129</f>
        <v>0.0460790062564252</v>
      </c>
      <c r="M129" s="75" t="str">
        <f>IF(L129&lt;=Capture,"Yes","No")</f>
        <v>No</v>
      </c>
      <c r="N129" s="86">
        <f>INDEX(ArchFactor,MATCH(C129,ArchNames,0))</f>
        <v>0.7</v>
      </c>
      <c r="O129" s="41">
        <f>Capture*N129</f>
        <v>0.021</v>
      </c>
      <c r="P129" s="39">
        <f>MIN(E129*O129*Conversion*Ticket,INDEX(CapacityPsf,MATCH(G129,TierCodes,0))*INDEX(Area,MATCH(G129,TierCodes,0)))</f>
        <v>236358.528</v>
      </c>
      <c r="Q129" s="39">
        <f>INDEX(Area,MATCH(G129,TierCodes,0))*RentPsf*(E129/Fref)^RentElasticity</f>
        <v>34413.8654927164</v>
      </c>
      <c r="R129" s="39">
        <f>Q129+INDEX(RunOther,MATCH(G129,TierCodes,0))+INDEX(LicPlan,MATCH(G129,TierCodes,0))</f>
        <v>240502.29482605</v>
      </c>
      <c r="S129" s="39">
        <f>(H129+R129*PaybackYears)/(ContribMargin*SumRamp)</f>
        <v>830009.811658646</v>
      </c>
      <c r="T129" s="41">
        <f>S129/(E129*Conversion*Ticket)</f>
        <v>0.0737447732151706</v>
      </c>
      <c r="U129" s="75" t="str">
        <f>IF(S129&lt;=P129,"Yes","No")</f>
        <v>No</v>
      </c>
      <c r="V129" s="39">
        <f>(K129+R129*PaybackYears)/(ContribMargin*SumRamp)</f>
        <v>784734.013140405</v>
      </c>
      <c r="W129" s="75" t="str">
        <f>IF(V129&lt;=P129,"Yes","No")</f>
        <v>No</v>
      </c>
      <c r="X129" s="82">
        <f>IF(MixSource="Melbourne: full store P&amp;L",IF(U129="Yes",1,0),IF(J129="Yes",1,0))</f>
        <v>0</v>
      </c>
      <c r="Y129" s="105">
        <f>X129*1000000000+E129</f>
        <v>703448</v>
      </c>
      <c r="Z129" s="82">
        <f>1+COUNTIFS($G$58:$G$135,G129,$Y$58:$Y$135,"&gt;"&amp;Y129)+COUNTIFS($G$58:$G$135,G129,$Y$58:$Y$135,Y129,$A$58:$A$135,"&lt;"&amp;A129)</f>
        <v>24</v>
      </c>
      <c r="AA129" s="69" t="str">
        <f>G129&amp;"|"&amp;Z129</f>
        <v>D|24</v>
      </c>
    </row>
    <row r="130">
      <c r="A130" s="102" t="n">
        <v>78</v>
      </c>
      <c r="B130" s="8" t="inlineStr">
        <is>
          <t>Harbour Esplanade (West) - Bike Path</t>
        </is>
      </c>
      <c r="C130" s="8" t="inlineStr">
        <is>
          <t>Low Activity</t>
        </is>
      </c>
      <c r="D130" s="103" t="n">
        <v>1642.6706</v>
      </c>
      <c r="E130" s="103" t="n">
        <v>612359</v>
      </c>
      <c r="F130" s="104" t="inlineStr">
        <is>
          <t>D</t>
        </is>
      </c>
      <c r="G130" s="14" t="str">
        <f>IF(D130&gt;=FlagshipBar,IF(OR(C130="Destination Retail",C130="Evening / Entertainment",C130="CBD Core / All-Day"),"SPLUS",IF(C130="Low Activity","D","S")),IF(D130&gt;=StandardBar,IF(OR(C130="Office / Weekday Core",C130="Low Activity"),"D","S"),"D"))</f>
        <v>D</v>
      </c>
      <c r="H130" s="39">
        <f>INDEX(PilotBuild,MATCH(G130,TierCodes,0))</f>
        <v>453040</v>
      </c>
      <c r="I130" s="41">
        <f>H130/(PaybackYears*Ticket*Conversion*DashMargin)/E130</f>
        <v>0.0616522878463995</v>
      </c>
      <c r="J130" s="75" t="str">
        <f>IF(I130&lt;=Capture,"Yes","No")</f>
        <v>No</v>
      </c>
      <c r="K130" s="39">
        <f>INDEX(AtScale,MATCH(G130,TierCodes,0))</f>
        <v>388970.217516837</v>
      </c>
      <c r="L130" s="41">
        <f>K130/(PaybackYears*Ticket*Conversion*DashMargin)/E130</f>
        <v>0.0529333034920198</v>
      </c>
      <c r="M130" s="75" t="str">
        <f>IF(L130&lt;=Capture,"Yes","No")</f>
        <v>No</v>
      </c>
      <c r="N130" s="86">
        <f>INDEX(ArchFactor,MATCH(C130,ArchNames,0))</f>
        <v>0.8</v>
      </c>
      <c r="O130" s="41">
        <f>Capture*N130</f>
        <v>0.024</v>
      </c>
      <c r="P130" s="39">
        <f>MIN(E130*O130*Conversion*Ticket,INDEX(CapacityPsf,MATCH(G130,TierCodes,0))*INDEX(Area,MATCH(G130,TierCodes,0)))</f>
        <v>235145.856</v>
      </c>
      <c r="Q130" s="39">
        <f>INDEX(Area,MATCH(G130,TierCodes,0))*RentPsf*(E130/Fref)^RentElasticity</f>
        <v>31886.6735227961</v>
      </c>
      <c r="R130" s="39">
        <f>Q130+INDEX(RunOther,MATCH(G130,TierCodes,0))+INDEX(LicPlan,MATCH(G130,TierCodes,0))</f>
        <v>237975.102856129</v>
      </c>
      <c r="S130" s="39">
        <f>(H130+R130*PaybackYears)/(ContribMargin*SumRamp)</f>
        <v>824652.186112917</v>
      </c>
      <c r="T130" s="41">
        <f>S130/(E130*Conversion*Ticket)</f>
        <v>0.0841675579718062</v>
      </c>
      <c r="U130" s="75" t="str">
        <f>IF(S130&lt;=P130,"Yes","No")</f>
        <v>No</v>
      </c>
      <c r="V130" s="39">
        <f>(K130+R130*PaybackYears)/(ContribMargin*SumRamp)</f>
        <v>779376.387594676</v>
      </c>
      <c r="W130" s="75" t="str">
        <f>IF(V130&lt;=P130,"Yes","No")</f>
        <v>No</v>
      </c>
      <c r="X130" s="82">
        <f>IF(MixSource="Melbourne: full store P&amp;L",IF(U130="Yes",1,0),IF(J130="Yes",1,0))</f>
        <v>0</v>
      </c>
      <c r="Y130" s="105">
        <f>X130*1000000000+E130</f>
        <v>612359</v>
      </c>
      <c r="Z130" s="82">
        <f>1+COUNTIFS($G$58:$G$135,G130,$Y$58:$Y$135,"&gt;"&amp;Y130)+COUNTIFS($G$58:$G$135,G130,$Y$58:$Y$135,Y130,$A$58:$A$135,"&lt;"&amp;A130)</f>
        <v>25</v>
      </c>
      <c r="AA130" s="69" t="str">
        <f>G130&amp;"|"&amp;Z130</f>
        <v>D|25</v>
      </c>
    </row>
    <row r="131">
      <c r="A131" s="102" t="n">
        <v>76</v>
      </c>
      <c r="B131" s="8" t="inlineStr">
        <is>
          <t>Macaulay Rd- Bellair St</t>
        </is>
      </c>
      <c r="C131" s="8" t="inlineStr">
        <is>
          <t>Low Activity</t>
        </is>
      </c>
      <c r="D131" s="103" t="n">
        <v>1675.6491</v>
      </c>
      <c r="E131" s="103" t="n">
        <v>576202</v>
      </c>
      <c r="F131" s="104" t="inlineStr">
        <is>
          <t>D</t>
        </is>
      </c>
      <c r="G131" s="14" t="str">
        <f>IF(D131&gt;=FlagshipBar,IF(OR(C131="Destination Retail",C131="Evening / Entertainment",C131="CBD Core / All-Day"),"SPLUS",IF(C131="Low Activity","D","S")),IF(D131&gt;=StandardBar,IF(OR(C131="Office / Weekday Core",C131="Low Activity"),"D","S"),"D"))</f>
        <v>D</v>
      </c>
      <c r="H131" s="39">
        <f>INDEX(PilotBuild,MATCH(G131,TierCodes,0))</f>
        <v>453040</v>
      </c>
      <c r="I131" s="41">
        <f>H131/(PaybackYears*Ticket*Conversion*DashMargin)/E131</f>
        <v>0.0655210036295142</v>
      </c>
      <c r="J131" s="75" t="str">
        <f>IF(I131&lt;=Capture,"Yes","No")</f>
        <v>No</v>
      </c>
      <c r="K131" s="39">
        <f>INDEX(AtScale,MATCH(G131,TierCodes,0))</f>
        <v>388970.217516837</v>
      </c>
      <c r="L131" s="41">
        <f>K131/(PaybackYears*Ticket*Conversion*DashMargin)/E131</f>
        <v>0.056254898096622</v>
      </c>
      <c r="M131" s="75" t="str">
        <f>IF(L131&lt;=Capture,"Yes","No")</f>
        <v>No</v>
      </c>
      <c r="N131" s="86">
        <f>INDEX(ArchFactor,MATCH(C131,ArchNames,0))</f>
        <v>0.8</v>
      </c>
      <c r="O131" s="41">
        <f>Capture*N131</f>
        <v>0.024</v>
      </c>
      <c r="P131" s="39">
        <f>MIN(E131*O131*Conversion*Ticket,INDEX(CapacityPsf,MATCH(G131,TierCodes,0))*INDEX(Area,MATCH(G131,TierCodes,0)))</f>
        <v>221261.568</v>
      </c>
      <c r="Q131" s="39">
        <f>INDEX(Area,MATCH(G131,TierCodes,0))*RentPsf*(E131/Fref)^RentElasticity</f>
        <v>30836.9897283369</v>
      </c>
      <c r="R131" s="39">
        <f>Q131+INDEX(RunOther,MATCH(G131,TierCodes,0))+INDEX(LicPlan,MATCH(G131,TierCodes,0))</f>
        <v>236925.41906167</v>
      </c>
      <c r="S131" s="39">
        <f>(H131+R131*PaybackYears)/(ContribMargin*SumRamp)</f>
        <v>822426.865369946</v>
      </c>
      <c r="T131" s="41">
        <f>S131/(E131*Conversion*Ticket)</f>
        <v>0.089207741530959</v>
      </c>
      <c r="U131" s="75" t="str">
        <f>IF(S131&lt;=P131,"Yes","No")</f>
        <v>No</v>
      </c>
      <c r="V131" s="39">
        <f>(K131+R131*PaybackYears)/(ContribMargin*SumRamp)</f>
        <v>777151.066851705</v>
      </c>
      <c r="W131" s="75" t="str">
        <f>IF(V131&lt;=P131,"Yes","No")</f>
        <v>No</v>
      </c>
      <c r="X131" s="82">
        <f>IF(MixSource="Melbourne: full store P&amp;L",IF(U131="Yes",1,0),IF(J131="Yes",1,0))</f>
        <v>0</v>
      </c>
      <c r="Y131" s="105">
        <f>X131*1000000000+E131</f>
        <v>576202</v>
      </c>
      <c r="Z131" s="82">
        <f>1+COUNTIFS($G$58:$G$135,G131,$Y$58:$Y$135,"&gt;"&amp;Y131)+COUNTIFS($G$58:$G$135,G131,$Y$58:$Y$135,Y131,$A$58:$A$135,"&lt;"&amp;A131)</f>
        <v>26</v>
      </c>
      <c r="AA131" s="69" t="str">
        <f>G131&amp;"|"&amp;Z131</f>
        <v>D|26</v>
      </c>
    </row>
    <row r="132">
      <c r="A132" s="102" t="n">
        <v>86</v>
      </c>
      <c r="B132" s="8" t="inlineStr">
        <is>
          <t>Queensberry St - Errol St (South)</t>
        </is>
      </c>
      <c r="C132" s="8" t="inlineStr">
        <is>
          <t>Low Activity</t>
        </is>
      </c>
      <c r="D132" s="103" t="n">
        <v>1534.0307</v>
      </c>
      <c r="E132" s="103" t="n">
        <v>546500</v>
      </c>
      <c r="F132" s="104" t="inlineStr">
        <is>
          <t>D</t>
        </is>
      </c>
      <c r="G132" s="14" t="str">
        <f>IF(D132&gt;=FlagshipBar,IF(OR(C132="Destination Retail",C132="Evening / Entertainment",C132="CBD Core / All-Day"),"SPLUS",IF(C132="Low Activity","D","S")),IF(D132&gt;=StandardBar,IF(OR(C132="Office / Weekday Core",C132="Low Activity"),"D","S"),"D"))</f>
        <v>D</v>
      </c>
      <c r="H132" s="39">
        <f>INDEX(PilotBuild,MATCH(G132,TierCodes,0))</f>
        <v>453040</v>
      </c>
      <c r="I132" s="41">
        <f>H132/(PaybackYears*Ticket*Conversion*DashMargin)/E132</f>
        <v>0.0690820372064654</v>
      </c>
      <c r="J132" s="75" t="str">
        <f>IF(I132&lt;=Capture,"Yes","No")</f>
        <v>No</v>
      </c>
      <c r="K132" s="39">
        <f>INDEX(AtScale,MATCH(G132,TierCodes,0))</f>
        <v>388970.217516837</v>
      </c>
      <c r="L132" s="41">
        <f>K132/(PaybackYears*Ticket*Conversion*DashMargin)/E132</f>
        <v>0.0593123235005851</v>
      </c>
      <c r="M132" s="75" t="str">
        <f>IF(L132&lt;=Capture,"Yes","No")</f>
        <v>No</v>
      </c>
      <c r="N132" s="86">
        <f>INDEX(ArchFactor,MATCH(C132,ArchNames,0))</f>
        <v>0.8</v>
      </c>
      <c r="O132" s="41">
        <f>Capture*N132</f>
        <v>0.024</v>
      </c>
      <c r="P132" s="39">
        <f>MIN(E132*O132*Conversion*Ticket,INDEX(CapacityPsf,MATCH(G132,TierCodes,0))*INDEX(Area,MATCH(G132,TierCodes,0)))</f>
        <v>209856</v>
      </c>
      <c r="Q132" s="39">
        <f>INDEX(Area,MATCH(G132,TierCodes,0))*RentPsf*(E132/Fref)^RentElasticity</f>
        <v>29952.3187503888</v>
      </c>
      <c r="R132" s="39">
        <f>Q132+INDEX(RunOther,MATCH(G132,TierCodes,0))+INDEX(LicPlan,MATCH(G132,TierCodes,0))</f>
        <v>236040.748083722</v>
      </c>
      <c r="S132" s="39">
        <f>(H132+R132*PaybackYears)/(ContribMargin*SumRamp)</f>
        <v>820551.370398676</v>
      </c>
      <c r="T132" s="41">
        <f>S132/(E132*Conversion*Ticket)</f>
        <v>0.0938416480327855</v>
      </c>
      <c r="U132" s="75" t="str">
        <f>IF(S132&lt;=P132,"Yes","No")</f>
        <v>No</v>
      </c>
      <c r="V132" s="39">
        <f>(K132+R132*PaybackYears)/(ContribMargin*SumRamp)</f>
        <v>775275.571880435</v>
      </c>
      <c r="W132" s="75" t="str">
        <f>IF(V132&lt;=P132,"Yes","No")</f>
        <v>No</v>
      </c>
      <c r="X132" s="82">
        <f>IF(MixSource="Melbourne: full store P&amp;L",IF(U132="Yes",1,0),IF(J132="Yes",1,0))</f>
        <v>0</v>
      </c>
      <c r="Y132" s="105">
        <f>X132*1000000000+E132</f>
        <v>546500</v>
      </c>
      <c r="Z132" s="82">
        <f>1+COUNTIFS($G$58:$G$135,G132,$Y$58:$Y$135,"&gt;"&amp;Y132)+COUNTIFS($G$58:$G$135,G132,$Y$58:$Y$135,Y132,$A$58:$A$135,"&lt;"&amp;A132)</f>
        <v>27</v>
      </c>
      <c r="AA132" s="69" t="str">
        <f>G132&amp;"|"&amp;Z132</f>
        <v>D|27</v>
      </c>
    </row>
    <row r="133">
      <c r="A133" s="102" t="n">
        <v>167</v>
      </c>
      <c r="B133" s="8" t="inlineStr">
        <is>
          <t>I-Hub 526 La Trobe Street (Crossing)</t>
        </is>
      </c>
      <c r="C133" s="8" t="inlineStr">
        <is>
          <t>Low Activity</t>
        </is>
      </c>
      <c r="D133" s="103" t="n">
        <v>1254.8062</v>
      </c>
      <c r="E133" s="103" t="n">
        <v>446264</v>
      </c>
      <c r="F133" s="104" t="inlineStr">
        <is>
          <t>D</t>
        </is>
      </c>
      <c r="G133" s="14" t="str">
        <f>IF(D133&gt;=FlagshipBar,IF(OR(C133="Destination Retail",C133="Evening / Entertainment",C133="CBD Core / All-Day"),"SPLUS",IF(C133="Low Activity","D","S")),IF(D133&gt;=StandardBar,IF(OR(C133="Office / Weekday Core",C133="Low Activity"),"D","S"),"D"))</f>
        <v>D</v>
      </c>
      <c r="H133" s="39">
        <f>INDEX(PilotBuild,MATCH(G133,TierCodes,0))</f>
        <v>453040</v>
      </c>
      <c r="I133" s="41">
        <f>H133/(PaybackYears*Ticket*Conversion*DashMargin)/E133</f>
        <v>0.0845986531141507</v>
      </c>
      <c r="J133" s="75" t="str">
        <f>IF(I133&lt;=Capture,"Yes","No")</f>
        <v>No</v>
      </c>
      <c r="K133" s="39">
        <f>INDEX(AtScale,MATCH(G133,TierCodes,0))</f>
        <v>388970.217516837</v>
      </c>
      <c r="L133" s="41">
        <f>K133/(PaybackYears*Ticket*Conversion*DashMargin)/E133</f>
        <v>0.0726345499369651</v>
      </c>
      <c r="M133" s="75" t="str">
        <f>IF(L133&lt;=Capture,"Yes","No")</f>
        <v>No</v>
      </c>
      <c r="N133" s="86">
        <f>INDEX(ArchFactor,MATCH(C133,ArchNames,0))</f>
        <v>0.8</v>
      </c>
      <c r="O133" s="41">
        <f>Capture*N133</f>
        <v>0.024</v>
      </c>
      <c r="P133" s="39">
        <f>MIN(E133*O133*Conversion*Ticket,INDEX(CapacityPsf,MATCH(G133,TierCodes,0))*INDEX(Area,MATCH(G133,TierCodes,0)))</f>
        <v>171365.376</v>
      </c>
      <c r="Q133" s="39">
        <f>INDEX(Area,MATCH(G133,TierCodes,0))*RentPsf*(E133/Fref)^RentElasticity</f>
        <v>26793.6189670514</v>
      </c>
      <c r="R133" s="39">
        <f>Q133+INDEX(RunOther,MATCH(G133,TierCodes,0))+INDEX(LicPlan,MATCH(G133,TierCodes,0))</f>
        <v>232882.048300385</v>
      </c>
      <c r="S133" s="39">
        <f>(H133+R133*PaybackYears)/(ContribMargin*SumRamp)</f>
        <v>813854.953643668</v>
      </c>
      <c r="T133" s="41">
        <f>S133/(E133*Conversion*Ticket)</f>
        <v>0.113981711728325</v>
      </c>
      <c r="U133" s="75" t="str">
        <f>IF(S133&lt;=P133,"Yes","No")</f>
        <v>No</v>
      </c>
      <c r="V133" s="39">
        <f>(K133+R133*PaybackYears)/(ContribMargin*SumRamp)</f>
        <v>768579.155125427</v>
      </c>
      <c r="W133" s="75" t="str">
        <f>IF(V133&lt;=P133,"Yes","No")</f>
        <v>No</v>
      </c>
      <c r="X133" s="82">
        <f>IF(MixSource="Melbourne: full store P&amp;L",IF(U133="Yes",1,0),IF(J133="Yes",1,0))</f>
        <v>0</v>
      </c>
      <c r="Y133" s="105">
        <f>X133*1000000000+E133</f>
        <v>446264</v>
      </c>
      <c r="Z133" s="82">
        <f>1+COUNTIFS($G$58:$G$135,G133,$Y$58:$Y$135,"&gt;"&amp;Y133)+COUNTIFS($G$58:$G$135,G133,$Y$58:$Y$135,Y133,$A$58:$A$135,"&lt;"&amp;A133)</f>
        <v>28</v>
      </c>
      <c r="AA133" s="69" t="str">
        <f>G133&amp;"|"&amp;Z133</f>
        <v>D|28</v>
      </c>
    </row>
    <row r="134">
      <c r="A134" s="102" t="n">
        <v>165</v>
      </c>
      <c r="B134" s="8" t="inlineStr">
        <is>
          <t>475 Spencer Street</t>
        </is>
      </c>
      <c r="C134" s="8" t="inlineStr">
        <is>
          <t>Low Activity</t>
        </is>
      </c>
      <c r="D134" s="103" t="n">
        <v>1156.3609</v>
      </c>
      <c r="E134" s="103" t="n">
        <v>409975</v>
      </c>
      <c r="F134" s="104" t="inlineStr">
        <is>
          <t>D</t>
        </is>
      </c>
      <c r="G134" s="14" t="str">
        <f>IF(D134&gt;=FlagshipBar,IF(OR(C134="Destination Retail",C134="Evening / Entertainment",C134="CBD Core / All-Day"),"SPLUS",IF(C134="Low Activity","D","S")),IF(D134&gt;=StandardBar,IF(OR(C134="Office / Weekday Core",C134="Low Activity"),"D","S"),"D"))</f>
        <v>D</v>
      </c>
      <c r="H134" s="39">
        <f>INDEX(PilotBuild,MATCH(G134,TierCodes,0))</f>
        <v>453040</v>
      </c>
      <c r="I134" s="41">
        <f>H134/(PaybackYears*Ticket*Conversion*DashMargin)/E134</f>
        <v>0.0920869158688538</v>
      </c>
      <c r="J134" s="75" t="str">
        <f>IF(I134&lt;=Capture,"Yes","No")</f>
        <v>No</v>
      </c>
      <c r="K134" s="39">
        <f>INDEX(AtScale,MATCH(G134,TierCodes,0))</f>
        <v>388970.217516837</v>
      </c>
      <c r="L134" s="41">
        <f>K134/(PaybackYears*Ticket*Conversion*DashMargin)/E134</f>
        <v>0.0790638082640887</v>
      </c>
      <c r="M134" s="75" t="str">
        <f>IF(L134&lt;=Capture,"Yes","No")</f>
        <v>No</v>
      </c>
      <c r="N134" s="86">
        <f>INDEX(ArchFactor,MATCH(C134,ArchNames,0))</f>
        <v>0.8</v>
      </c>
      <c r="O134" s="41">
        <f>Capture*N134</f>
        <v>0.024</v>
      </c>
      <c r="P134" s="39">
        <f>MIN(E134*O134*Conversion*Ticket,INDEX(CapacityPsf,MATCH(G134,TierCodes,0))*INDEX(Area,MATCH(G134,TierCodes,0)))</f>
        <v>157430.4</v>
      </c>
      <c r="Q134" s="39">
        <f>INDEX(Area,MATCH(G134,TierCodes,0))*RentPsf*(E134/Fref)^RentElasticity</f>
        <v>25572.4544289981</v>
      </c>
      <c r="R134" s="39">
        <f>Q134+INDEX(RunOther,MATCH(G134,TierCodes,0))+INDEX(LicPlan,MATCH(G134,TierCodes,0))</f>
        <v>231660.883762331</v>
      </c>
      <c r="S134" s="39">
        <f>(H134+R134*PaybackYears)/(ContribMargin*SumRamp)</f>
        <v>811266.095178429</v>
      </c>
      <c r="T134" s="41">
        <f>S134/(E134*Conversion*Ticket)</f>
        <v>0.123676153298742</v>
      </c>
      <c r="U134" s="75" t="str">
        <f>IF(S134&lt;=P134,"Yes","No")</f>
        <v>No</v>
      </c>
      <c r="V134" s="39">
        <f>(K134+R134*PaybackYears)/(ContribMargin*SumRamp)</f>
        <v>765990.296660188</v>
      </c>
      <c r="W134" s="75" t="str">
        <f>IF(V134&lt;=P134,"Yes","No")</f>
        <v>No</v>
      </c>
      <c r="X134" s="82">
        <f>IF(MixSource="Melbourne: full store P&amp;L",IF(U134="Yes",1,0),IF(J134="Yes",1,0))</f>
        <v>0</v>
      </c>
      <c r="Y134" s="105">
        <f>X134*1000000000+E134</f>
        <v>409975</v>
      </c>
      <c r="Z134" s="82">
        <f>1+COUNTIFS($G$58:$G$135,G134,$Y$58:$Y$135,"&gt;"&amp;Y134)+COUNTIFS($G$58:$G$135,G134,$Y$58:$Y$135,Y134,$A$58:$A$135,"&lt;"&amp;A134)</f>
        <v>29</v>
      </c>
      <c r="AA134" s="69" t="str">
        <f>G134&amp;"|"&amp;Z134</f>
        <v>D|29</v>
      </c>
    </row>
    <row r="135">
      <c r="A135" s="102" t="n">
        <v>71</v>
      </c>
      <c r="B135" s="8" t="inlineStr">
        <is>
          <t>Westwood Place</t>
        </is>
      </c>
      <c r="C135" s="8" t="inlineStr">
        <is>
          <t>Low Activity</t>
        </is>
      </c>
      <c r="D135" s="103" t="n">
        <v>660.9524</v>
      </c>
      <c r="E135" s="103" t="n">
        <v>201640</v>
      </c>
      <c r="F135" s="104" t="inlineStr">
        <is>
          <t>D</t>
        </is>
      </c>
      <c r="G135" s="14" t="str">
        <f>IF(D135&gt;=FlagshipBar,IF(OR(C135="Destination Retail",C135="Evening / Entertainment",C135="CBD Core / All-Day"),"SPLUS",IF(C135="Low Activity","D","S")),IF(D135&gt;=StandardBar,IF(OR(C135="Office / Weekday Core",C135="Low Activity"),"D","S"),"D"))</f>
        <v>D</v>
      </c>
      <c r="H135" s="39">
        <f>INDEX(PilotBuild,MATCH(G135,TierCodes,0))</f>
        <v>453040</v>
      </c>
      <c r="I135" s="41">
        <f>H135/(PaybackYears*Ticket*Conversion*DashMargin)/E135</f>
        <v>0.187231369437281</v>
      </c>
      <c r="J135" s="75" t="str">
        <f>IF(I135&lt;=Capture,"Yes","No")</f>
        <v>No</v>
      </c>
      <c r="K135" s="39">
        <f>INDEX(AtScale,MATCH(G135,TierCodes,0))</f>
        <v>388970.217516837</v>
      </c>
      <c r="L135" s="41">
        <f>K135/(PaybackYears*Ticket*Conversion*DashMargin)/E135</f>
        <v>0.160752751403837</v>
      </c>
      <c r="M135" s="75" t="str">
        <f>IF(L135&lt;=Capture,"Yes","No")</f>
        <v>No</v>
      </c>
      <c r="N135" s="86">
        <f>INDEX(ArchFactor,MATCH(C135,ArchNames,0))</f>
        <v>0.8</v>
      </c>
      <c r="O135" s="41">
        <f>Capture*N135</f>
        <v>0.024</v>
      </c>
      <c r="P135" s="39">
        <f>MIN(E135*O135*Conversion*Ticket,INDEX(CapacityPsf,MATCH(G135,TierCodes,0))*INDEX(Area,MATCH(G135,TierCodes,0)))</f>
        <v>77429.76</v>
      </c>
      <c r="Q135" s="39">
        <f>INDEX(Area,MATCH(G135,TierCodes,0))*RentPsf*(E135/Fref)^RentElasticity</f>
        <v>17309.0421771224</v>
      </c>
      <c r="R135" s="39">
        <f>Q135+INDEX(RunOther,MATCH(G135,TierCodes,0))+INDEX(LicPlan,MATCH(G135,TierCodes,0))</f>
        <v>223397.471510456</v>
      </c>
      <c r="S135" s="39">
        <f>(H135+R135*PaybackYears)/(ContribMargin*SumRamp)</f>
        <v>793747.731277908</v>
      </c>
      <c r="T135" s="41">
        <f>S135/(E135*Conversion*Ticket)</f>
        <v>0.246028730434781</v>
      </c>
      <c r="U135" s="75" t="str">
        <f>IF(S135&lt;=P135,"Yes","No")</f>
        <v>No</v>
      </c>
      <c r="V135" s="39">
        <f>(K135+R135*PaybackYears)/(ContribMargin*SumRamp)</f>
        <v>748471.932759667</v>
      </c>
      <c r="W135" s="75" t="str">
        <f>IF(V135&lt;=P135,"Yes","No")</f>
        <v>No</v>
      </c>
      <c r="X135" s="82">
        <f>IF(MixSource="Melbourne: full store P&amp;L",IF(U135="Yes",1,0),IF(J135="Yes",1,0))</f>
        <v>0</v>
      </c>
      <c r="Y135" s="105">
        <f>X135*1000000000+E135</f>
        <v>201640</v>
      </c>
      <c r="Z135" s="82">
        <f>1+COUNTIFS($G$58:$G$135,G135,$Y$58:$Y$135,"&gt;"&amp;Y135)+COUNTIFS($G$58:$G$135,G135,$Y$58:$Y$135,Y135,$A$58:$A$135,"&lt;"&amp;A135)</f>
        <v>30</v>
      </c>
      <c r="AA135" s="69" t="str">
        <f>G135&amp;"|"&amp;Z135</f>
        <v>D|30</v>
      </c>
    </row>
  </sheetData>
  <mergeCells count="7">
    <mergeCell ref="C40:F40"/>
    <mergeCell ref="N56:U56"/>
    <mergeCell ref="A56:G56"/>
    <mergeCell ref="X56:AA56"/>
    <mergeCell ref="K56:M56"/>
    <mergeCell ref="H56:J56"/>
    <mergeCell ref="V56:W56"/>
  </mergeCells>
  <conditionalFormatting sqref="B8:J8">
    <cfRule type="expression" priority="1" dxfId="7">
      <formula>TRUE</formula>
    </cfRule>
  </conditionalFormatting>
  <conditionalFormatting sqref="D26">
    <cfRule type="expression" priority="2" dxfId="3">
      <formula>D26&lt;&gt;E26</formula>
    </cfRule>
  </conditionalFormatting>
  <conditionalFormatting sqref="D27">
    <cfRule type="expression" priority="3" dxfId="3">
      <formula>D27&lt;&gt;E27</formula>
    </cfRule>
  </conditionalFormatting>
  <conditionalFormatting sqref="D28">
    <cfRule type="expression" priority="4" dxfId="3">
      <formula>D28&lt;&gt;E28</formula>
    </cfRule>
  </conditionalFormatting>
  <conditionalFormatting sqref="D29">
    <cfRule type="expression" priority="5" dxfId="3">
      <formula>D29&lt;&gt;E29</formula>
    </cfRule>
  </conditionalFormatting>
  <conditionalFormatting sqref="D30">
    <cfRule type="expression" priority="6" dxfId="3">
      <formula>D30&lt;&gt;E30</formula>
    </cfRule>
  </conditionalFormatting>
  <conditionalFormatting sqref="D31">
    <cfRule type="expression" priority="7" dxfId="3">
      <formula>D31&lt;&gt;E31</formula>
    </cfRule>
  </conditionalFormatting>
  <conditionalFormatting sqref="D32">
    <cfRule type="expression" priority="8" dxfId="3">
      <formula>D32&lt;&gt;E32</formula>
    </cfRule>
  </conditionalFormatting>
  <conditionalFormatting sqref="D33">
    <cfRule type="expression" priority="9" dxfId="3">
      <formula>D33&lt;&gt;E33</formula>
    </cfRule>
  </conditionalFormatting>
  <conditionalFormatting sqref="D34">
    <cfRule type="expression" priority="10" dxfId="3">
      <formula>D34&lt;&gt;E34</formula>
    </cfRule>
  </conditionalFormatting>
  <conditionalFormatting sqref="D35">
    <cfRule type="expression" priority="11" dxfId="3">
      <formula>D35&lt;&gt;E35</formula>
    </cfRule>
  </conditionalFormatting>
  <conditionalFormatting sqref="C40">
    <cfRule type="expression" priority="12" dxfId="0">
      <formula>LEFT(C40,3)="Yes"</formula>
    </cfRule>
    <cfRule type="expression" priority="13" dxfId="2">
      <formula>LEFT(C40,3)&lt;&gt;"Yes"</formula>
    </cfRule>
  </conditionalFormatting>
  <conditionalFormatting sqref="J58:J135">
    <cfRule type="expression" priority="14" dxfId="0">
      <formula>J58="Yes"</formula>
    </cfRule>
    <cfRule type="expression" priority="15" dxfId="8">
      <formula>J58="No"</formula>
    </cfRule>
  </conditionalFormatting>
  <conditionalFormatting sqref="M58:M135">
    <cfRule type="expression" priority="16" dxfId="0">
      <formula>M58="Yes"</formula>
    </cfRule>
    <cfRule type="expression" priority="17" dxfId="8">
      <formula>M58="No"</formula>
    </cfRule>
  </conditionalFormatting>
  <conditionalFormatting sqref="U58:U135">
    <cfRule type="expression" priority="18" dxfId="0">
      <formula>U58="Yes"</formula>
    </cfRule>
    <cfRule type="expression" priority="19" dxfId="8">
      <formula>U58="No"</formula>
    </cfRule>
  </conditionalFormatting>
  <conditionalFormatting sqref="W58:W135">
    <cfRule type="expression" priority="20" dxfId="0">
      <formula>W58="Yes"</formula>
    </cfRule>
    <cfRule type="expression" priority="21" dxfId="8">
      <formula>W58="No"</formula>
    </cfRule>
  </conditionalFormatting>
  <conditionalFormatting sqref="G58:G135">
    <cfRule type="expression" priority="22" dxfId="9">
      <formula>G58="SPLUS"</formula>
    </cfRule>
    <cfRule type="expression" priority="23" dxfId="10">
      <formula>G58="S"</formula>
    </cfRule>
    <cfRule type="expression" priority="24" dxfId="11">
      <formula>G58="D"</formula>
    </cfRule>
  </conditionalFormatting>
  <conditionalFormatting sqref="F58:F135">
    <cfRule type="expression" priority="25" dxfId="3">
      <formula>F58&lt;&gt;G58</formula>
    </cfRule>
  </conditionalFormatting>
  <pageMargins left="0.75" right="0.75" top="1" bottom="1" header="0.5" footer="0.5"/>
  <pageSetup orientation="landscape" fitToHeight="0" fitToWidth="1"/>
</worksheet>
</file>

<file path=xl/worksheets/sheet7.xml><?xml version="1.0" encoding="utf-8"?>
<worksheet xmlns="http://schemas.openxmlformats.org/spreadsheetml/2006/main">
  <sheetPr>
    <tabColor rgb="00EE6B37"/>
    <outlinePr summaryBelow="1" summaryRight="1"/>
    <pageSetUpPr fitToPage="1"/>
  </sheetPr>
  <dimension ref="A1:AW121"/>
  <sheetViews>
    <sheetView showGridLines="0" zoomScale="100" workbookViewId="0">
      <pane xSplit="3" ySplit="21" topLeftCell="D22" activePane="bottomRight" state="frozen"/>
      <selection pane="topRight"/>
      <selection pane="bottomLeft"/>
      <selection pane="bottomRight" activeCell="A1" sqref="A1"/>
    </sheetView>
  </sheetViews>
  <sheetFormatPr baseColWidth="8" defaultRowHeight="15"/>
  <cols>
    <col width="8" customWidth="1" min="1" max="1"/>
    <col width="9" customWidth="1" min="2" max="2"/>
    <col width="10" customWidth="1" min="3" max="3"/>
    <col width="10" customWidth="1" min="4" max="4"/>
    <col width="12" customWidth="1" min="5" max="5"/>
    <col width="13" customWidth="1" min="6" max="6"/>
    <col width="13" customWidth="1" min="7" max="7"/>
    <col width="13" customWidth="1" min="8" max="8"/>
    <col width="13" customWidth="1" min="9" max="9"/>
    <col width="44" customWidth="1" min="10" max="10"/>
    <col width="24" customWidth="1" min="11" max="11"/>
    <col width="13" customWidth="1" min="12" max="12"/>
    <col width="10" customWidth="1" min="13" max="13"/>
    <col width="13" customWidth="1" min="14" max="14"/>
    <col width="12" customWidth="1" min="15" max="15"/>
    <col width="13" customWidth="1" min="16" max="16"/>
    <col width="13" customWidth="1" min="17" max="17"/>
    <col width="10" customWidth="1" min="18" max="18"/>
    <col width="12" customWidth="1" min="19" max="19"/>
    <col width="3" customWidth="1" min="20" max="20"/>
    <col width="12" customWidth="1" min="21" max="21"/>
    <col width="12" customWidth="1" min="22" max="22"/>
    <col width="12" customWidth="1" min="23" max="23"/>
    <col width="12" customWidth="1" min="24" max="24"/>
    <col width="12" customWidth="1" min="25" max="25"/>
    <col width="12" customWidth="1" min="26" max="26"/>
    <col width="12" customWidth="1" min="27" max="27"/>
    <col width="12" customWidth="1" min="28" max="28"/>
    <col width="12" customWidth="1" min="29" max="29"/>
    <col width="12" customWidth="1" min="30" max="30"/>
    <col hidden="1" outlineLevel="1" width="10" customWidth="1" min="32" max="49"/>
  </cols>
  <sheetData>
    <row r="1" ht="30" customHeight="1">
      <c r="A1" s="32" t="inlineStr">
        <is>
          <t>Rollout · every store, in opening order</t>
        </is>
      </c>
    </row>
    <row r="2">
      <c r="A2" s="33" t="inlineStr">
        <is>
          <t>Each store gets its size from the mix, its build from the learning curve and price breaks, and a street from the Melbourne ranking. Up to 100 stores; empty rows are stores you haven't planned.</t>
        </is>
      </c>
    </row>
    <row r="4" ht="20" customHeight="1">
      <c r="A4" s="4" t="inlineStr">
        <is>
          <t>The plan</t>
        </is>
      </c>
      <c r="B4" s="5" t="n"/>
      <c r="C4" s="5" t="n"/>
      <c r="D4" s="5" t="n"/>
      <c r="E4" s="5" t="n"/>
      <c r="F4" s="5" t="n"/>
      <c r="G4" s="5" t="n"/>
      <c r="H4" s="5" t="n"/>
      <c r="I4" s="5" t="n"/>
    </row>
    <row r="5" ht="30" customHeight="1">
      <c r="A5" s="10" t="inlineStr">
        <is>
          <t>Size</t>
        </is>
      </c>
      <c r="B5" s="11" t="inlineStr"/>
      <c r="C5" s="11" t="inlineStr">
        <is>
          <t>Mix used</t>
        </is>
      </c>
      <c r="D5" s="11" t="inlineStr">
        <is>
          <t>Stores</t>
        </is>
      </c>
      <c r="E5" s="11" t="inlineStr">
        <is>
          <t>First opens in year</t>
        </is>
      </c>
      <c r="F5" s="11" t="inlineStr">
        <is>
          <t>Store build, first store</t>
        </is>
      </c>
      <c r="G5" s="11" t="inlineStr">
        <is>
          <t>Average build at scale (today's $)</t>
        </is>
      </c>
      <c r="H5" s="11" t="inlineStr">
        <is>
          <t>Saving from scale</t>
        </is>
      </c>
      <c r="I5" s="11" t="inlineStr"/>
    </row>
    <row r="6">
      <c r="A6" s="97" t="inlineStr">
        <is>
          <t>Flagship (SPLUS)</t>
        </is>
      </c>
      <c r="C6" s="41">
        <f>IFERROR(C13/SUM($C$13:$C$15),0)</f>
        <v>0.23728813559322</v>
      </c>
      <c r="D6" s="47">
        <f>D13+H13</f>
        <v>7</v>
      </c>
      <c r="E6" s="46">
        <f>IFERROR(INDEX($B$22:$B$121,MATCH("SPLUS",$C$22:$C$121,0)),"-")</f>
        <v>1</v>
      </c>
      <c r="F6" s="37">
        <f>Pilot_SPLUS</f>
        <v>1416330</v>
      </c>
      <c r="G6" s="67">
        <f>IFERROR(AVERAGEIFS($H$22:$H$121,$C$22:$C$121,"SPLUS"),Pilot_SPLUS)</f>
        <v>1231151.26415049</v>
      </c>
      <c r="H6" s="41">
        <f>IFERROR(1-G6/F6,0)</f>
        <v>0.13074547305325</v>
      </c>
    </row>
    <row r="7">
      <c r="A7" s="98" t="inlineStr">
        <is>
          <t>Standard (S)</t>
        </is>
      </c>
      <c r="C7" s="41">
        <f>IFERROR(C14/SUM($C$13:$C$15),0)</f>
        <v>0.491525423728814</v>
      </c>
      <c r="D7" s="47">
        <f>D14+H14</f>
        <v>15</v>
      </c>
      <c r="E7" s="46">
        <f>IFERROR(INDEX($B$22:$B$121,MATCH("S",$C$22:$C$121,0)),"-")</f>
        <v>1</v>
      </c>
      <c r="F7" s="37">
        <f>Pilot_S</f>
        <v>799625</v>
      </c>
      <c r="G7" s="67">
        <f>IFERROR(AVERAGEIFS($H$22:$H$121,$C$22:$C$121,"S"),Pilot_S)</f>
        <v>682952.585715908</v>
      </c>
      <c r="H7" s="41">
        <f>IFERROR(1-G7/F7,0)</f>
        <v>0.145908912657923</v>
      </c>
    </row>
    <row r="8">
      <c r="A8" s="99" t="inlineStr">
        <is>
          <t>Small (D)</t>
        </is>
      </c>
      <c r="C8" s="41">
        <f>IFERROR(C15/SUM($C$13:$C$15),0)</f>
        <v>0.271186440677966</v>
      </c>
      <c r="D8" s="47">
        <f>D15+H15</f>
        <v>8</v>
      </c>
      <c r="E8" s="46">
        <f>IFERROR(INDEX($B$22:$B$121,MATCH("D",$C$22:$C$121,0)),"-")</f>
        <v>2</v>
      </c>
      <c r="F8" s="37">
        <f>Pilot_D</f>
        <v>453040</v>
      </c>
      <c r="G8" s="67">
        <f>IFERROR(AVERAGEIFS($H$22:$H$121,$C$22:$C$121,"D"),Pilot_D)</f>
        <v>388970.217516837</v>
      </c>
      <c r="H8" s="41">
        <f>IFERROR(1-G8/F8,0)</f>
        <v>0.141421910831632</v>
      </c>
    </row>
    <row r="9">
      <c r="A9" s="79" t="inlineStr">
        <is>
          <t>Total</t>
        </is>
      </c>
      <c r="B9" s="78" t="n"/>
      <c r="C9" s="106">
        <f>SUM(C6:C8)</f>
        <v>1</v>
      </c>
      <c r="D9" s="107">
        <f>SUM(D6:D8)</f>
        <v>30</v>
      </c>
      <c r="E9" s="78" t="n"/>
      <c r="F9" s="78" t="n"/>
      <c r="G9" s="78" t="n"/>
      <c r="H9" s="78" t="n"/>
      <c r="I9" s="78" t="n"/>
    </row>
    <row r="11" ht="20" customHeight="1">
      <c r="A11" s="108" t="inlineStr">
        <is>
          <t>Rounding the mix to whole stores (largest remainder, in whole numbers)</t>
        </is>
      </c>
      <c r="B11" s="5" t="n"/>
      <c r="C11" s="5" t="n"/>
      <c r="D11" s="5" t="n"/>
      <c r="E11" s="5" t="n"/>
      <c r="F11" s="5" t="n"/>
      <c r="G11" s="5" t="n"/>
      <c r="H11" s="5" t="n"/>
      <c r="I11" s="5" t="n"/>
    </row>
    <row r="12" ht="30" customHeight="1">
      <c r="A12" s="10" t="inlineStr">
        <is>
          <t>Size</t>
        </is>
      </c>
      <c r="B12" s="11" t="inlineStr"/>
      <c r="C12" s="11" t="inlineStr">
        <is>
          <t>Weight</t>
        </is>
      </c>
      <c r="D12" s="11" t="inlineStr">
        <is>
          <t>Whole stores</t>
        </is>
      </c>
      <c r="E12" s="11" t="inlineStr">
        <is>
          <t>Left over</t>
        </is>
      </c>
      <c r="F12" s="11" t="inlineStr">
        <is>
          <t>Rank of left over</t>
        </is>
      </c>
      <c r="G12" s="11" t="inlineStr">
        <is>
          <t>Still to place</t>
        </is>
      </c>
      <c r="H12" s="11" t="inlineStr">
        <is>
          <t>Gets one more</t>
        </is>
      </c>
      <c r="I12" s="11" t="inlineStr">
        <is>
          <t>Raw weight</t>
        </is>
      </c>
    </row>
    <row r="13">
      <c r="A13" s="68" t="inlineStr">
        <is>
          <t>Flagship (SPLUS)</t>
        </is>
      </c>
      <c r="C13" s="105">
        <f>IF(SUM($I$13:$I$15)=0,INDEX(CountAll,1),I13)</f>
        <v>14</v>
      </c>
      <c r="D13" s="105">
        <f>QUOTIENT(C13*PlanStores,SUM($C$13:$C$15))</f>
        <v>7</v>
      </c>
      <c r="E13" s="105">
        <f>MOD(C13*PlanStores,SUM($C$13:$C$15))</f>
        <v>7</v>
      </c>
      <c r="F13" s="105">
        <f>1+(E14&gt;E13)+(E15&gt;E13)</f>
        <v>3</v>
      </c>
      <c r="G13" s="105">
        <f>PlanStores-SUM($D$13:$D$15)</f>
        <v>1</v>
      </c>
      <c r="H13" s="105">
        <f>IF(F13&lt;=G13,1,0)</f>
        <v>0</v>
      </c>
      <c r="I13" s="105">
        <f>IF(MixSource="Melbourne: dashboard test",INDEX(CountA,1),IF(MixSource="Melbourne: full store P&amp;L",INDEX(CountC,1),IF(MixSource="Melbourne: all 78 streets",INDEX(CountAll,1),ROUND(MAX(0,OwnMix_SPLUS)*1000000,0))))</f>
        <v>14</v>
      </c>
    </row>
    <row r="14">
      <c r="A14" s="68" t="inlineStr">
        <is>
          <t>Standard (S)</t>
        </is>
      </c>
      <c r="C14" s="105">
        <f>IF(SUM($I$13:$I$15)=0,INDEX(CountAll,2),I14)</f>
        <v>29</v>
      </c>
      <c r="D14" s="105">
        <f>QUOTIENT(C14*PlanStores,SUM($C$13:$C$15))</f>
        <v>14</v>
      </c>
      <c r="E14" s="105">
        <f>MOD(C14*PlanStores,SUM($C$13:$C$15))</f>
        <v>44</v>
      </c>
      <c r="F14" s="105">
        <f>1+(E13&gt;=E14)+(E15&gt;E14)</f>
        <v>1</v>
      </c>
      <c r="G14" s="105">
        <f>PlanStores-SUM($D$13:$D$15)</f>
        <v>1</v>
      </c>
      <c r="H14" s="105">
        <f>IF(F14&lt;=G14,1,0)</f>
        <v>1</v>
      </c>
      <c r="I14" s="105">
        <f>IF(MixSource="Melbourne: dashboard test",INDEX(CountA,2),IF(MixSource="Melbourne: full store P&amp;L",INDEX(CountC,2),IF(MixSource="Melbourne: all 78 streets",INDEX(CountAll,2),ROUND(MAX(0,OwnMix_S)*1000000,0))))</f>
        <v>29</v>
      </c>
    </row>
    <row r="15">
      <c r="A15" s="68" t="inlineStr">
        <is>
          <t>Small (D)</t>
        </is>
      </c>
      <c r="C15" s="105">
        <f>IF(SUM($I$13:$I$15)=0,INDEX(CountAll,3),I15)</f>
        <v>16</v>
      </c>
      <c r="D15" s="105">
        <f>QUOTIENT(C15*PlanStores,SUM($C$13:$C$15))</f>
        <v>8</v>
      </c>
      <c r="E15" s="105">
        <f>MOD(C15*PlanStores,SUM($C$13:$C$15))</f>
        <v>8</v>
      </c>
      <c r="F15" s="105">
        <f>1+(E13&gt;=E15)+(E14&gt;=E15)</f>
        <v>2</v>
      </c>
      <c r="G15" s="105">
        <f>PlanStores-SUM($D$13:$D$15)</f>
        <v>1</v>
      </c>
      <c r="H15" s="105">
        <f>IF(F15&lt;=G15,1,0)</f>
        <v>0</v>
      </c>
      <c r="I15" s="105">
        <f>IF(MixSource="Melbourne: dashboard test",INDEX(CountA,3),IF(MixSource="Melbourne: full store P&amp;L",INDEX(CountC,3),IF(MixSource="Melbourne: all 78 streets",INDEX(CountAll,3),ROUND(MAX(0,OwnMix_D)*1000000,0))))</f>
        <v>16</v>
      </c>
    </row>
    <row r="16">
      <c r="A16" s="68" t="inlineStr">
        <is>
          <t>Weight = streets that pass the mix test (or your mix x 1,000,000). Whole numbers keep every spreadsheet engine on the same answer.</t>
        </is>
      </c>
    </row>
    <row r="19" ht="20" customHeight="1">
      <c r="A19" s="4" t="inlineStr">
        <is>
          <t>Every store, in opening order</t>
        </is>
      </c>
      <c r="B19" s="5" t="n"/>
      <c r="C19" s="5" t="n"/>
      <c r="D19" s="5" t="n"/>
      <c r="E19" s="5" t="n"/>
      <c r="F19" s="5" t="n"/>
      <c r="G19" s="5" t="n"/>
      <c r="H19" s="5" t="n"/>
      <c r="I19" s="5" t="n"/>
      <c r="J19" s="5" t="n"/>
      <c r="K19" s="5" t="n"/>
      <c r="L19" s="5" t="n"/>
      <c r="M19" s="5" t="n"/>
      <c r="N19" s="5" t="n"/>
      <c r="O19" s="5" t="n"/>
      <c r="P19" s="5" t="n"/>
      <c r="Q19" s="5" t="n"/>
      <c r="R19" s="5" t="n"/>
      <c r="S19" s="5" t="n"/>
      <c r="T19" s="5" t="n"/>
    </row>
    <row r="20">
      <c r="A20" s="101" t="inlineStr">
        <is>
          <t>Store</t>
        </is>
      </c>
      <c r="B20" s="71" t="n"/>
      <c r="C20" s="71" t="n"/>
      <c r="D20" s="71" t="n"/>
      <c r="E20" s="101" t="inlineStr">
        <is>
          <t>Build</t>
        </is>
      </c>
      <c r="F20" s="71" t="n"/>
      <c r="G20" s="71" t="n"/>
      <c r="H20" s="71" t="n"/>
      <c r="I20" s="71" t="n"/>
      <c r="J20" s="101" t="inlineStr">
        <is>
          <t>Street</t>
        </is>
      </c>
      <c r="K20" s="71" t="n"/>
      <c r="L20" s="71" t="n"/>
      <c r="M20" s="71" t="n"/>
      <c r="N20" s="101" t="inlineStr">
        <is>
          <t>Store P&amp;L</t>
        </is>
      </c>
      <c r="O20" s="71" t="n"/>
      <c r="P20" s="71" t="n"/>
      <c r="Q20" s="71" t="n"/>
      <c r="R20" s="71" t="n"/>
      <c r="S20" s="71" t="n"/>
      <c r="U20" s="101" t="inlineStr">
        <is>
          <t>Store profit by year (after licences; opening year part-traded)</t>
        </is>
      </c>
    </row>
    <row r="21" ht="42" customHeight="1">
      <c r="A21" s="10" t="inlineStr">
        <is>
          <t>Store</t>
        </is>
      </c>
      <c r="B21" s="11" t="inlineStr">
        <is>
          <t>Opens in year</t>
        </is>
      </c>
      <c r="C21" s="11" t="inlineStr">
        <is>
          <t>Size</t>
        </is>
      </c>
      <c r="D21" s="11" t="inlineStr">
        <is>
          <t>Nth of its size</t>
        </is>
      </c>
      <c r="E21" s="11" t="inlineStr">
        <is>
          <t>Experience (stores)</t>
        </is>
      </c>
      <c r="F21" s="11" t="inlineStr">
        <is>
          <t>Learning factor</t>
        </is>
      </c>
      <c r="G21" s="11" t="inlineStr">
        <is>
          <t>Price factor</t>
        </is>
      </c>
      <c r="H21" s="11" t="inlineStr">
        <is>
          <t>Build (today's $)</t>
        </is>
      </c>
      <c r="I21" s="11" t="inlineStr">
        <is>
          <t>Build (opening-year $)</t>
        </is>
      </c>
      <c r="J21" s="11" t="inlineStr">
        <is>
          <t>Street</t>
        </is>
      </c>
      <c r="K21" s="11" t="inlineStr">
        <is>
          <t>Kind of street</t>
        </is>
      </c>
      <c r="L21" s="11" t="inlineStr">
        <is>
          <t>Passers-by per year</t>
        </is>
      </c>
      <c r="M21" s="11" t="inlineStr">
        <is>
          <t>Street factor</t>
        </is>
      </c>
      <c r="N21" s="11" t="inlineStr">
        <is>
          <t>Sales, mature year</t>
        </is>
      </c>
      <c r="O21" s="11" t="inlineStr">
        <is>
          <t>Rent</t>
        </is>
      </c>
      <c r="P21" s="11" t="inlineStr">
        <is>
          <t>Running costs before licences</t>
        </is>
      </c>
      <c r="Q21" s="11" t="inlineStr">
        <is>
          <t>Profit, mature year</t>
        </is>
      </c>
      <c r="R21" s="11" t="inlineStr">
        <is>
          <t>Years to repay</t>
        </is>
      </c>
      <c r="S21" s="11" t="inlineStr">
        <is>
          <t>Opening stock</t>
        </is>
      </c>
      <c r="U21" s="109" t="n">
        <v>1</v>
      </c>
      <c r="V21" s="109" t="n">
        <v>2</v>
      </c>
      <c r="W21" s="109" t="n">
        <v>3</v>
      </c>
      <c r="X21" s="109" t="n">
        <v>4</v>
      </c>
      <c r="Y21" s="109" t="n">
        <v>5</v>
      </c>
      <c r="Z21" s="109" t="n">
        <v>6</v>
      </c>
      <c r="AA21" s="109" t="n">
        <v>7</v>
      </c>
      <c r="AB21" s="109" t="n">
        <v>8</v>
      </c>
      <c r="AC21" s="109" t="n">
        <v>9</v>
      </c>
      <c r="AD21" s="109" t="n">
        <v>10</v>
      </c>
      <c r="AF21" s="74" t="inlineStr">
        <is>
          <t>Flagships so far</t>
        </is>
      </c>
      <c r="AG21" s="74" t="inlineStr">
        <is>
          <t>Standard so far</t>
        </is>
      </c>
      <c r="AH21" s="74" t="inlineStr">
        <is>
          <t>Small so far</t>
        </is>
      </c>
      <c r="AI21" s="74" t="inlineStr">
        <is>
          <t>Gap: SPLUS</t>
        </is>
      </c>
      <c r="AJ21" s="74" t="inlineStr">
        <is>
          <t>Gap: S</t>
        </is>
      </c>
      <c r="AK21" s="74" t="inlineStr">
        <is>
          <t>Gap: D</t>
        </is>
      </c>
      <c r="AL21" s="74" t="inlineStr">
        <is>
          <t>Size index</t>
        </is>
      </c>
      <c r="AM21" s="74" t="inlineStr">
        <is>
          <t>Street rank</t>
        </is>
      </c>
      <c r="AN21" s="74" t="inlineStr">
        <is>
          <t>Street row</t>
        </is>
      </c>
      <c r="AO21" s="74" t="inlineStr">
        <is>
          <t>Profit yr 1</t>
        </is>
      </c>
      <c r="AP21" s="74" t="inlineStr">
        <is>
          <t>Profit yr 2</t>
        </is>
      </c>
      <c r="AR21" s="74" t="inlineStr">
        <is>
          <t>Learning: Cautious</t>
        </is>
      </c>
      <c r="AS21" s="74" t="inlineStr">
        <is>
          <t>Price: Cautious</t>
        </is>
      </c>
      <c r="AT21" s="74" t="inlineStr">
        <is>
          <t>Learning: Expected</t>
        </is>
      </c>
      <c r="AU21" s="74" t="inlineStr">
        <is>
          <t>Price: Expected</t>
        </is>
      </c>
      <c r="AV21" s="74" t="inlineStr">
        <is>
          <t>Learning: Aggressive</t>
        </is>
      </c>
      <c r="AW21" s="74" t="inlineStr">
        <is>
          <t>Price: Aggressive</t>
        </is>
      </c>
    </row>
    <row r="22">
      <c r="A22" s="110" t="n">
        <v>1</v>
      </c>
      <c r="B22" s="111">
        <f>IF($A22&gt;PlanStores,"",1+COUNTIF(CumOpenings,"&lt;"&amp;$A22))</f>
        <v>1</v>
      </c>
      <c r="C22" s="14" t="str">
        <f>IF($A22&gt;PlanStores,"",IF(AND($A22=1,FlagshipFirst="Yes",INDEX(Target,1)&gt;0),"SPLUS",IF(AND(AI22&gt;=AJ22,AI22&gt;=AK22),"SPLUS",IF(AJ22&gt;=AK22,"S","D"))))</f>
        <v>SPLUS</v>
      </c>
      <c r="D22" s="111">
        <f>IF($C22="","",IF($C22="SPLUS",AF22,IF($C22="S",AG22,AH22)))</f>
        <v>1</v>
      </c>
      <c r="E22" s="112">
        <f>IF($C22="","",$D22+LearnShared*($A22-$D22))</f>
        <v>1</v>
      </c>
      <c r="F22" s="85">
        <f>IF($C22="","",MAX(LearnFloor,$E22^LOG(LearnRate,2)))</f>
        <v>1</v>
      </c>
      <c r="G22" s="85">
        <f>IF($C22="","",1-IF(IF(Deal="Commit to the full plan",PlanStores,$A22)&gt;=PBAt4,PBDisc4,IF(IF(Deal="Commit to the full plan",PlanStores,$A22)&gt;=PBAt3,PBDisc3,IF(IF(Deal="Commit to the full plan",PlanStores,$A22)&gt;=PBAt2,PBDisc2,IF(IF(Deal="Commit to the full plan",PlanStores,$A22)&gt;=PBAt1,PBDisc1,0)))))</f>
        <v>1</v>
      </c>
      <c r="H22" s="39">
        <f>IF($C22="","",INDEX(BaseL,AL22)*$F22+INDEX(BaseV,AL22)*$G22+INDEX(BaseN,AL22))</f>
        <v>1416330</v>
      </c>
      <c r="I22" s="39">
        <f>IF($C22="","",$H22*(1+BuildInflation)^($B22-1))</f>
        <v>1416330</v>
      </c>
      <c r="J22" s="40" t="str">
        <f>IF($C22="","",IF(AN22="",IF(INDEX(Cand,AL22)=0,"No street of this size","Typical "&amp;LOWER(INDEX(TierNames,AL22))&amp;" street"),INDEX(Melbourne!$B$58:$B$135,AN22)))</f>
        <v>Town Hall (West)</v>
      </c>
      <c r="K22" s="40" t="str">
        <f>IF(OR($C22="",AN22=""),"",INDEX(Melbourne!$C$58:$C$135,AN22))</f>
        <v>Destination Retail</v>
      </c>
      <c r="L22" s="46">
        <f>IF($C22="","",IF(AN22="",INDEX(TypicalF,AL22),INDEX(Melbourne!$E$58:$E$135,AN22)))</f>
        <v>13342665</v>
      </c>
      <c r="M22" s="86">
        <f>IF($C22="","",IF(AN22="",INDEX(TypicalQ,AL22),INDEX(Melbourne!$N$58:$N$135,AN22)))</f>
        <v>1.2</v>
      </c>
      <c r="N22" s="39">
        <f>IF($C22="","",MIN($L22*Capture*$M22*Conversion*Ticket,INDEX(CapacityPsf,AL22)*INDEX(Area,AL22)))</f>
        <v>5440000</v>
      </c>
      <c r="O22" s="39">
        <f>IF($C22="","",INDEX(Area,AL22)*RentPsf*($L22/Fref)^RentElasticity)</f>
        <v>655957.474519942</v>
      </c>
      <c r="P22" s="39">
        <f>IF($C22="","",$O22+INDEX(RunOther,AL22))</f>
        <v>1154251.22118661</v>
      </c>
      <c r="Q22" s="95">
        <f>IF($C22="","",$N22*ContribMargin-$P22-INDEX(LicPlan,AL22))</f>
        <v>1716123.77881339</v>
      </c>
      <c r="R22" s="113">
        <f>IF($C22="","",IF(AND(AO22&gt;=$H22,AO22&gt;0),$H22/AO22,IF(AND(AO22+AP22&gt;=$H22,AP22&gt;0),1+($H22-AO22)/AP22,IF($Q22&gt;0,2+($H22-AO22-AP22)/$Q22,"Never"))))</f>
        <v>1.28341659589743</v>
      </c>
      <c r="S22" s="39">
        <f>IF($C22="","",StockWeeks/52*$N22*(1-GrossMargin))</f>
        <v>292923.076923077</v>
      </c>
      <c r="U22" s="95">
        <f>IF(OR($C22="",U$21&lt;$B22),0,IF(U$21=$B22,OpenYearShare,1)*($N22*ContribMargin*IF(U$21=$B22,Ramp1,IF(U$21=$B22+1,Ramp2,1))-$P22-INDEX(LicByYear,AL22,U$21)))</f>
        <v>493274.389406696</v>
      </c>
      <c r="V22" s="95">
        <f>IF(OR($C22="",V$21&lt;$B22),0,IF(V$21=$B22,OpenYearShare,1)*($N22*ContribMargin*IF(V$21=$B22,Ramp1,IF(V$21=$B22+1,Ramp2,1))-$P22-INDEX(LicByYear,AL22,V$21)))</f>
        <v>1481417.77881339</v>
      </c>
      <c r="W22" s="95">
        <f>IF(OR($C22="",W$21&lt;$B22),0,IF(W$21=$B22,OpenYearShare,1)*($N22*ContribMargin*IF(W$21=$B22,Ramp1,IF(W$21=$B22+1,Ramp2,1))-$P22-INDEX(LicByYear,AL22,W$21)))</f>
        <v>1712073.77881339</v>
      </c>
      <c r="X22" s="95">
        <f>IF(OR($C22="",X$21&lt;$B22),0,IF(X$21=$B22,OpenYearShare,1)*($N22*ContribMargin*IF(X$21=$B22,Ramp1,IF(X$21=$B22+1,Ramp2,1))-$P22-INDEX(LicByYear,AL22,X$21)))</f>
        <v>1716123.77881339</v>
      </c>
      <c r="Y22" s="95">
        <f>IF(OR($C22="",Y$21&lt;$B22),0,IF(Y$21=$B22,OpenYearShare,1)*($N22*ContribMargin*IF(Y$21=$B22,Ramp1,IF(Y$21=$B22+1,Ramp2,1))-$P22-INDEX(LicByYear,AL22,Y$21)))</f>
        <v>1716123.77881339</v>
      </c>
      <c r="Z22" s="95">
        <f>IF(OR($C22="",Z$21&lt;$B22),0,IF(Z$21=$B22,OpenYearShare,1)*($N22*ContribMargin*IF(Z$21=$B22,Ramp1,IF(Z$21=$B22+1,Ramp2,1))-$P22-INDEX(LicByYear,AL22,Z$21)))</f>
        <v>1716123.77881339</v>
      </c>
      <c r="AA22" s="95">
        <f>IF(OR($C22="",AA$21&lt;$B22),0,IF(AA$21=$B22,OpenYearShare,1)*($N22*ContribMargin*IF(AA$21=$B22,Ramp1,IF(AA$21=$B22+1,Ramp2,1))-$P22-INDEX(LicByYear,AL22,AA$21)))</f>
        <v>1716123.77881339</v>
      </c>
      <c r="AB22" s="95">
        <f>IF(OR($C22="",AB$21&lt;$B22),0,IF(AB$21=$B22,OpenYearShare,1)*($N22*ContribMargin*IF(AB$21=$B22,Ramp1,IF(AB$21=$B22+1,Ramp2,1))-$P22-INDEX(LicByYear,AL22,AB$21)))</f>
        <v>1716123.77881339</v>
      </c>
      <c r="AC22" s="95">
        <f>IF(OR($C22="",AC$21&lt;$B22),0,IF(AC$21=$B22,OpenYearShare,1)*($N22*ContribMargin*IF(AC$21=$B22,Ramp1,IF(AC$21=$B22+1,Ramp2,1))-$P22-INDEX(LicByYear,AL22,AC$21)))</f>
        <v>1716123.77881339</v>
      </c>
      <c r="AD22" s="95">
        <f>IF(OR($C22="",AD$21&lt;$B22),0,IF(AD$21=$B22,OpenYearShare,1)*($N22*ContribMargin*IF(AD$21=$B22,Ramp1,IF(AD$21=$B22+1,Ramp2,1))-$P22-INDEX(LicByYear,AL22,AD$21)))</f>
        <v>1716123.77881339</v>
      </c>
      <c r="AF22" s="82">
        <f>0+IF($C22="SPLUS",1,0)</f>
        <v>1</v>
      </c>
      <c r="AG22" s="82">
        <f>0+IF($C22="S",1,0)</f>
        <v>0</v>
      </c>
      <c r="AH22" s="82">
        <f>0+IF($C22="D",1,0)</f>
        <v>0</v>
      </c>
      <c r="AI22" s="105">
        <f>IF(OR($A22&gt;PlanStores,0&gt;=INDEX(Target,1)),-1000000000,INDEX(Target,1)*$A22-0*PlanStores)</f>
        <v>7</v>
      </c>
      <c r="AJ22" s="105">
        <f>IF(OR($A22&gt;PlanStores,0&gt;=INDEX(Target,2)),-1000000000,INDEX(Target,2)*$A22-0*PlanStores)</f>
        <v>15</v>
      </c>
      <c r="AK22" s="105">
        <f>IF(OR($A22&gt;PlanStores,0&gt;=INDEX(Target,3)),-1000000000,INDEX(Target,3)*$A22-0*PlanStores)</f>
        <v>8</v>
      </c>
      <c r="AL22" s="82">
        <f>IF($C22="","",MATCH($C22,TierCodes,0))</f>
        <v>1</v>
      </c>
      <c r="AM22" s="82">
        <f>IF($C22="","",IF(OR(StreetChoice="Typical street for its size",INDEX(Cand,AL22)=0),"",MOD($D22-1,INDEX(Cand,AL22))+1))</f>
        <v>1</v>
      </c>
      <c r="AN22" s="82">
        <f>IF(AM22="","",MATCH($C22&amp;"|"&amp;AM22,Melbourne!$AA$58:$AA$135,0))</f>
        <v>1</v>
      </c>
      <c r="AO22" s="76">
        <f>IF($C22="","",Ramp1*$N22*ContribMargin-$P22-INDEX(LicPlan,AL22))</f>
        <v>995323.778813391</v>
      </c>
      <c r="AP22" s="76">
        <f>IF($C22="","",Ramp2*$N22*ContribMargin-$P22-INDEX(LicPlan,AL22))</f>
        <v>1485467.77881339</v>
      </c>
      <c r="AR22" s="61">
        <f>IF($C22="","",MAX(Scale!$C$7,($D22+Scale!$C$8*($A22-$D22))^LOG(Scale!$C$6,2)))</f>
        <v>1</v>
      </c>
      <c r="AS22" s="61">
        <f>IF($C22="","",1-IF(IF(Deal="Commit to the full plan",PlanStores,$A22)&gt;=PBAt4,Scale!$C$12,IF(IF(Deal="Commit to the full plan",PlanStores,$A22)&gt;=PBAt3,Scale!$C$11,IF(IF(Deal="Commit to the full plan",PlanStores,$A22)&gt;=PBAt2,Scale!$C$10,IF(IF(Deal="Commit to the full plan",PlanStores,$A22)&gt;=PBAt1,Scale!$C$9,0)))))</f>
        <v>1</v>
      </c>
      <c r="AT22" s="61">
        <f>IF($C22="","",MAX(Scale!$D$7,($D22+Scale!$D$8*($A22-$D22))^LOG(Scale!$D$6,2)))</f>
        <v>1</v>
      </c>
      <c r="AU22" s="61">
        <f>IF($C22="","",1-IF(IF(Deal="Commit to the full plan",PlanStores,$A22)&gt;=PBAt4,Scale!$D$12,IF(IF(Deal="Commit to the full plan",PlanStores,$A22)&gt;=PBAt3,Scale!$D$11,IF(IF(Deal="Commit to the full plan",PlanStores,$A22)&gt;=PBAt2,Scale!$D$10,IF(IF(Deal="Commit to the full plan",PlanStores,$A22)&gt;=PBAt1,Scale!$D$9,0)))))</f>
        <v>1</v>
      </c>
      <c r="AV22" s="61">
        <f>IF($C22="","",MAX(Scale!$E$7,($D22+Scale!$E$8*($A22-$D22))^LOG(Scale!$E$6,2)))</f>
        <v>1</v>
      </c>
      <c r="AW22" s="61">
        <f>IF($C22="","",1-IF(IF(Deal="Commit to the full plan",PlanStores,$A22)&gt;=PBAt4,Scale!$E$12,IF(IF(Deal="Commit to the full plan",PlanStores,$A22)&gt;=PBAt3,Scale!$E$11,IF(IF(Deal="Commit to the full plan",PlanStores,$A22)&gt;=PBAt2,Scale!$E$10,IF(IF(Deal="Commit to the full plan",PlanStores,$A22)&gt;=PBAt1,Scale!$E$9,0)))))</f>
        <v>1</v>
      </c>
    </row>
    <row r="23">
      <c r="A23" s="110" t="n">
        <v>2</v>
      </c>
      <c r="B23" s="111">
        <f>IF($A23&gt;PlanStores,"",1+COUNTIF(CumOpenings,"&lt;"&amp;$A23))</f>
        <v>1</v>
      </c>
      <c r="C23" s="14" t="str">
        <f>IF($A23&gt;PlanStores,"",IF(AND($A23=1,FlagshipFirst="Yes",INDEX(Target,1)&gt;0),"SPLUS",IF(AND(AI23&gt;=AJ23,AI23&gt;=AK23),"SPLUS",IF(AJ23&gt;=AK23,"S","D"))))</f>
        <v>S</v>
      </c>
      <c r="D23" s="111">
        <f>IF($C23="","",IF($C23="SPLUS",AF23,IF($C23="S",AG23,AH23)))</f>
        <v>1</v>
      </c>
      <c r="E23" s="112">
        <f>IF($C23="","",$D23+LearnShared*($A23-$D23))</f>
        <v>1.5</v>
      </c>
      <c r="F23" s="85">
        <f>IF($C23="","",MAX(LearnFloor,$E23^LOG(LearnRate,2)))</f>
        <v>0.94022887368038</v>
      </c>
      <c r="G23" s="85">
        <f>IF($C23="","",1-IF(IF(Deal="Commit to the full plan",PlanStores,$A23)&gt;=PBAt4,PBDisc4,IF(IF(Deal="Commit to the full plan",PlanStores,$A23)&gt;=PBAt3,PBDisc3,IF(IF(Deal="Commit to the full plan",PlanStores,$A23)&gt;=PBAt2,PBDisc2,IF(IF(Deal="Commit to the full plan",PlanStores,$A23)&gt;=PBAt1,PBDisc1,0)))))</f>
        <v>1</v>
      </c>
      <c r="H23" s="39">
        <f>IF($C23="","",INDEX(BaseL,AL23)*$F23+INDEX(BaseV,AL23)*$G23+INDEX(BaseN,AL23))</f>
        <v>778034.174895195</v>
      </c>
      <c r="I23" s="39">
        <f>IF($C23="","",$H23*(1+BuildInflation)^($B23-1))</f>
        <v>778034.174895195</v>
      </c>
      <c r="J23" s="40" t="str">
        <f>IF($C23="","",IF(AN23="",IF(INDEX(Cand,AL23)=0,"No street of this size","Typical "&amp;LOWER(INDEX(TierNames,AL23))&amp;" street"),INDEX(Melbourne!$B$58:$B$135,AN23)))</f>
        <v>Flinders La-Swanston St (West)</v>
      </c>
      <c r="K23" s="40" t="str">
        <f>IF(OR($C23="",AN23=""),"",INDEX(Melbourne!$C$58:$C$135,AN23))</f>
        <v>Transit Spine</v>
      </c>
      <c r="L23" s="46">
        <f>IF($C23="","",IF(AN23="",INDEX(TypicalF,AL23),INDEX(Melbourne!$E$58:$E$135,AN23)))</f>
        <v>13136999</v>
      </c>
      <c r="M23" s="86">
        <f>IF($C23="","",IF(AN23="",INDEX(TypicalQ,AL23),INDEX(Melbourne!$N$58:$N$135,AN23)))</f>
        <v>0.6</v>
      </c>
      <c r="N23" s="39">
        <f>IF($C23="","",MIN($L23*Capture*$M23*Conversion*Ticket,INDEX(CapacityPsf,AL23)*INDEX(Area,AL23)))</f>
        <v>2310000</v>
      </c>
      <c r="O23" s="39">
        <f>IF($C23="","",INDEX(Area,AL23)*RentPsf*($L23/Fref)^RentElasticity)</f>
        <v>315624.119493356</v>
      </c>
      <c r="P23" s="39">
        <f>IF($C23="","",$O23+INDEX(RunOther,AL23))</f>
        <v>620209.692826689</v>
      </c>
      <c r="Q23" s="95">
        <f>IF($C23="","",$N23*ContribMargin-$P23-INDEX(LicPlan,AL23))</f>
        <v>595540.307173311</v>
      </c>
      <c r="R23" s="113">
        <f>IF($C23="","",IF(AND(AO23&gt;=$H23,AO23&gt;0),$H23/AO23,IF(AND(AO23+AP23&gt;=$H23,AP23&gt;0),1+($H23-AO23)/AP23,IF($Q23&gt;0,2+($H23-AO23-AP23)/$Q23,"Never"))))</f>
        <v>1.98185790505016</v>
      </c>
      <c r="S23" s="39">
        <f>IF($C23="","",StockWeeks/52*$N23*(1-GrossMargin))</f>
        <v>124384.615384615</v>
      </c>
      <c r="U23" s="95">
        <f>IF(OR($C23="",U$21&lt;$B23),0,IF(U$21=$B23,OpenYearShare,1)*($N23*ContribMargin*IF(U$21=$B23,Ramp1,IF(U$21=$B23+1,Ramp2,1))-$P23-INDEX(LicByYear,AL23,U$21)))</f>
        <v>141807.653586655</v>
      </c>
      <c r="V23" s="95">
        <f>IF(OR($C23="",V$21&lt;$B23),0,IF(V$21=$B23,OpenYearShare,1)*($N23*ContribMargin*IF(V$21=$B23,Ramp1,IF(V$21=$B23+1,Ramp2,1))-$P23-INDEX(LicByYear,AL23,V$21)))</f>
        <v>494896.307173311</v>
      </c>
      <c r="W23" s="95">
        <f>IF(OR($C23="",W$21&lt;$B23),0,IF(W$21=$B23,OpenYearShare,1)*($N23*ContribMargin*IF(W$21=$B23,Ramp1,IF(W$21=$B23+1,Ramp2,1))-$P23-INDEX(LicByYear,AL23,W$21)))</f>
        <v>592840.307173311</v>
      </c>
      <c r="X23" s="95">
        <f>IF(OR($C23="",X$21&lt;$B23),0,IF(X$21=$B23,OpenYearShare,1)*($N23*ContribMargin*IF(X$21=$B23,Ramp1,IF(X$21=$B23+1,Ramp2,1))-$P23-INDEX(LicByYear,AL23,X$21)))</f>
        <v>595540.307173311</v>
      </c>
      <c r="Y23" s="95">
        <f>IF(OR($C23="",Y$21&lt;$B23),0,IF(Y$21=$B23,OpenYearShare,1)*($N23*ContribMargin*IF(Y$21=$B23,Ramp1,IF(Y$21=$B23+1,Ramp2,1))-$P23-INDEX(LicByYear,AL23,Y$21)))</f>
        <v>595540.307173311</v>
      </c>
      <c r="Z23" s="95">
        <f>IF(OR($C23="",Z$21&lt;$B23),0,IF(Z$21=$B23,OpenYearShare,1)*($N23*ContribMargin*IF(Z$21=$B23,Ramp1,IF(Z$21=$B23+1,Ramp2,1))-$P23-INDEX(LicByYear,AL23,Z$21)))</f>
        <v>595540.307173311</v>
      </c>
      <c r="AA23" s="95">
        <f>IF(OR($C23="",AA$21&lt;$B23),0,IF(AA$21=$B23,OpenYearShare,1)*($N23*ContribMargin*IF(AA$21=$B23,Ramp1,IF(AA$21=$B23+1,Ramp2,1))-$P23-INDEX(LicByYear,AL23,AA$21)))</f>
        <v>595540.307173311</v>
      </c>
      <c r="AB23" s="95">
        <f>IF(OR($C23="",AB$21&lt;$B23),0,IF(AB$21=$B23,OpenYearShare,1)*($N23*ContribMargin*IF(AB$21=$B23,Ramp1,IF(AB$21=$B23+1,Ramp2,1))-$P23-INDEX(LicByYear,AL23,AB$21)))</f>
        <v>595540.307173311</v>
      </c>
      <c r="AC23" s="95">
        <f>IF(OR($C23="",AC$21&lt;$B23),0,IF(AC$21=$B23,OpenYearShare,1)*($N23*ContribMargin*IF(AC$21=$B23,Ramp1,IF(AC$21=$B23+1,Ramp2,1))-$P23-INDEX(LicByYear,AL23,AC$21)))</f>
        <v>595540.307173311</v>
      </c>
      <c r="AD23" s="95">
        <f>IF(OR($C23="",AD$21&lt;$B23),0,IF(AD$21=$B23,OpenYearShare,1)*($N23*ContribMargin*IF(AD$21=$B23,Ramp1,IF(AD$21=$B23+1,Ramp2,1))-$P23-INDEX(LicByYear,AL23,AD$21)))</f>
        <v>595540.307173311</v>
      </c>
      <c r="AF23" s="82">
        <f>AF22+IF($C23="SPLUS",1,0)</f>
        <v>1</v>
      </c>
      <c r="AG23" s="82">
        <f>AG22+IF($C23="S",1,0)</f>
        <v>1</v>
      </c>
      <c r="AH23" s="82">
        <f>AH22+IF($C23="D",1,0)</f>
        <v>0</v>
      </c>
      <c r="AI23" s="105">
        <f>IF(OR($A23&gt;PlanStores,AF22&gt;=INDEX(Target,1)),-1000000000,INDEX(Target,1)*$A23-AF22*PlanStores)</f>
        <v>-16</v>
      </c>
      <c r="AJ23" s="105">
        <f>IF(OR($A23&gt;PlanStores,AG22&gt;=INDEX(Target,2)),-1000000000,INDEX(Target,2)*$A23-AG22*PlanStores)</f>
        <v>30</v>
      </c>
      <c r="AK23" s="105">
        <f>IF(OR($A23&gt;PlanStores,AH22&gt;=INDEX(Target,3)),-1000000000,INDEX(Target,3)*$A23-AH22*PlanStores)</f>
        <v>16</v>
      </c>
      <c r="AL23" s="82">
        <f>IF($C23="","",MATCH($C23,TierCodes,0))</f>
        <v>2</v>
      </c>
      <c r="AM23" s="82">
        <f>IF($C23="","",IF(OR(StreetChoice="Typical street for its size",INDEX(Cand,AL23)=0),"",MOD($D23-1,INDEX(Cand,AL23))+1))</f>
        <v>1</v>
      </c>
      <c r="AN23" s="82">
        <f>IF(AM23="","",MATCH($C23&amp;"|"&amp;AM23,Melbourne!$AA$58:$AA$135,0))</f>
        <v>2</v>
      </c>
      <c r="AO23" s="76">
        <f>IF($C23="","",Ramp1*$N23*ContribMargin-$P23-INDEX(LicPlan,AL23))</f>
        <v>289465.307173311</v>
      </c>
      <c r="AP23" s="76">
        <f>IF($C23="","",Ramp2*$N23*ContribMargin-$P23-INDEX(LicPlan,AL23))</f>
        <v>497596.307173311</v>
      </c>
      <c r="AR23" s="61">
        <f>IF($C23="","",MAX(Scale!$C$7,($D23+Scale!$C$8*($A23-$D23))^LOG(Scale!$C$6,2)))</f>
        <v>0.983622835618497</v>
      </c>
      <c r="AS23" s="61">
        <f>IF($C23="","",1-IF(IF(Deal="Commit to the full plan",PlanStores,$A23)&gt;=PBAt4,Scale!$C$12,IF(IF(Deal="Commit to the full plan",PlanStores,$A23)&gt;=PBAt3,Scale!$C$11,IF(IF(Deal="Commit to the full plan",PlanStores,$A23)&gt;=PBAt2,Scale!$C$10,IF(IF(Deal="Commit to the full plan",PlanStores,$A23)&gt;=PBAt1,Scale!$C$9,0)))))</f>
        <v>1</v>
      </c>
      <c r="AT23" s="61">
        <f>IF($C23="","",MAX(Scale!$D$7,($D23+Scale!$D$8*($A23-$D23))^LOG(Scale!$D$6,2)))</f>
        <v>0.94022887368038</v>
      </c>
      <c r="AU23" s="61">
        <f>IF($C23="","",1-IF(IF(Deal="Commit to the full plan",PlanStores,$A23)&gt;=PBAt4,Scale!$D$12,IF(IF(Deal="Commit to the full plan",PlanStores,$A23)&gt;=PBAt3,Scale!$D$11,IF(IF(Deal="Commit to the full plan",PlanStores,$A23)&gt;=PBAt2,Scale!$D$10,IF(IF(Deal="Commit to the full plan",PlanStores,$A23)&gt;=PBAt1,Scale!$D$9,0)))))</f>
        <v>1</v>
      </c>
      <c r="AV23" s="61">
        <f>IF($C23="","",MAX(Scale!$E$7,($D23+Scale!$E$8*($A23-$D23))^LOG(Scale!$E$6,2)))</f>
        <v>0.877033176618763</v>
      </c>
      <c r="AW23" s="61">
        <f>IF($C23="","",1-IF(IF(Deal="Commit to the full plan",PlanStores,$A23)&gt;=PBAt4,Scale!$E$12,IF(IF(Deal="Commit to the full plan",PlanStores,$A23)&gt;=PBAt3,Scale!$E$11,IF(IF(Deal="Commit to the full plan",PlanStores,$A23)&gt;=PBAt2,Scale!$E$10,IF(IF(Deal="Commit to the full plan",PlanStores,$A23)&gt;=PBAt1,Scale!$E$9,0)))))</f>
        <v>1</v>
      </c>
    </row>
    <row r="24">
      <c r="A24" s="110" t="n">
        <v>3</v>
      </c>
      <c r="B24" s="111">
        <f>IF($A24&gt;PlanStores,"",1+COUNTIF(CumOpenings,"&lt;"&amp;$A24))</f>
        <v>2</v>
      </c>
      <c r="C24" s="14" t="str">
        <f>IF($A24&gt;PlanStores,"",IF(AND($A24=1,FlagshipFirst="Yes",INDEX(Target,1)&gt;0),"SPLUS",IF(AND(AI24&gt;=AJ24,AI24&gt;=AK24),"SPLUS",IF(AJ24&gt;=AK24,"S","D"))))</f>
        <v>D</v>
      </c>
      <c r="D24" s="111">
        <f>IF($C24="","",IF($C24="SPLUS",AF24,IF($C24="S",AG24,AH24)))</f>
        <v>1</v>
      </c>
      <c r="E24" s="112">
        <f>IF($C24="","",$D24+LearnShared*($A24-$D24))</f>
        <v>2</v>
      </c>
      <c r="F24" s="85">
        <f>IF($C24="","",MAX(LearnFloor,$E24^LOG(LearnRate,2)))</f>
        <v>0.9</v>
      </c>
      <c r="G24" s="85">
        <f>IF($C24="","",1-IF(IF(Deal="Commit to the full plan",PlanStores,$A24)&gt;=PBAt4,PBDisc4,IF(IF(Deal="Commit to the full plan",PlanStores,$A24)&gt;=PBAt3,PBDisc3,IF(IF(Deal="Commit to the full plan",PlanStores,$A24)&gt;=PBAt2,PBDisc2,IF(IF(Deal="Commit to the full plan",PlanStores,$A24)&gt;=PBAt1,PBDisc1,0)))))</f>
        <v>0.97</v>
      </c>
      <c r="H24" s="39">
        <f>IF($C24="","",INDEX(BaseL,AL24)*$F24+INDEX(BaseV,AL24)*$G24+INDEX(BaseN,AL24))</f>
        <v>427637</v>
      </c>
      <c r="I24" s="39">
        <f>IF($C24="","",$H24*(1+BuildInflation)^($B24-1))</f>
        <v>440466.11</v>
      </c>
      <c r="J24" s="40" t="str">
        <f>IF($C24="","",IF(AN24="",IF(INDEX(Cand,AL24)=0,"No street of this size","Typical "&amp;LOWER(INDEX(TierNames,AL24))&amp;" street"),INDEX(Melbourne!$B$58:$B$135,AN24)))</f>
        <v>Spencer St-Collins St (South)</v>
      </c>
      <c r="K24" s="40" t="str">
        <f>IF(OR($C24="",AN24=""),"",INDEX(Melbourne!$C$58:$C$135,AN24))</f>
        <v>Office / Weekday Core</v>
      </c>
      <c r="L24" s="46">
        <f>IF($C24="","",IF(AN24="",INDEX(TypicalF,AL24),INDEX(Melbourne!$E$58:$E$135,AN24)))</f>
        <v>3051479</v>
      </c>
      <c r="M24" s="86">
        <f>IF($C24="","",IF(AN24="",INDEX(TypicalQ,AL24),INDEX(Melbourne!$N$58:$N$135,AN24)))</f>
        <v>0.7</v>
      </c>
      <c r="N24" s="39">
        <f>IF($C24="","",MIN($L24*Capture*$M24*Conversion*Ticket,INDEX(CapacityPsf,AL24)*INDEX(Area,AL24)))</f>
        <v>1025296.944</v>
      </c>
      <c r="O24" s="39">
        <f>IF($C24="","",INDEX(Area,AL24)*RentPsf*($L24/Fref)^RentElasticity)</f>
        <v>77132.351089235</v>
      </c>
      <c r="P24" s="39">
        <f>IF($C24="","",$O24+INDEX(RunOther,AL24))</f>
        <v>278090.780422568</v>
      </c>
      <c r="Q24" s="95">
        <f>IF($C24="","",$N24*ContribMargin-$P24-INDEX(LicPlan,AL24))</f>
        <v>260186.599897432</v>
      </c>
      <c r="R24" s="113">
        <f>IF($C24="","",IF(AND(AO24&gt;=$H24,AO24&gt;0),$H24/AO24,IF(AND(AO24+AP24&gt;=$H24,AP24&gt;0),1+($H24-AO24)/AP24,IF($Q24&gt;0,2+($H24-AO24-AP24)/$Q24,"Never"))))</f>
        <v>2.33279283308545</v>
      </c>
      <c r="S24" s="39">
        <f>IF($C24="","",StockWeeks/52*$N24*(1-GrossMargin))</f>
        <v>55208.2969846154</v>
      </c>
      <c r="U24" s="95">
        <f>IF(OR($C24="",U$21&lt;$B24),0,IF(U$21=$B24,OpenYearShare,1)*($N24*ContribMargin*IF(U$21=$B24,Ramp1,IF(U$21=$B24+1,Ramp2,1))-$P24-INDEX(LicByYear,AL24,U$21)))</f>
        <v>0</v>
      </c>
      <c r="V24" s="95">
        <f>IF(OR($C24="",V$21&lt;$B24),0,IF(V$21=$B24,OpenYearShare,1)*($N24*ContribMargin*IF(V$21=$B24,Ramp1,IF(V$21=$B24+1,Ramp2,1))-$P24-INDEX(LicByYear,AL24,V$21)))</f>
        <v>61357.3774087158</v>
      </c>
      <c r="W24" s="95">
        <f>IF(OR($C24="",W$21&lt;$B24),0,IF(W$21=$B24,OpenYearShare,1)*($N24*ContribMargin*IF(W$21=$B24,Ramp1,IF(W$21=$B24+1,Ramp2,1))-$P24-INDEX(LicByYear,AL24,W$21)))</f>
        <v>215094.009471832</v>
      </c>
      <c r="X24" s="95">
        <f>IF(OR($C24="",X$21&lt;$B24),0,IF(X$21=$B24,OpenYearShare,1)*($N24*ContribMargin*IF(X$21=$B24,Ramp1,IF(X$21=$B24+1,Ramp2,1))-$P24-INDEX(LicByYear,AL24,X$21)))</f>
        <v>260186.599897432</v>
      </c>
      <c r="Y24" s="95">
        <f>IF(OR($C24="",Y$21&lt;$B24),0,IF(Y$21=$B24,OpenYearShare,1)*($N24*ContribMargin*IF(Y$21=$B24,Ramp1,IF(Y$21=$B24+1,Ramp2,1))-$P24-INDEX(LicByYear,AL24,Y$21)))</f>
        <v>260186.599897432</v>
      </c>
      <c r="Z24" s="95">
        <f>IF(OR($C24="",Z$21&lt;$B24),0,IF(Z$21=$B24,OpenYearShare,1)*($N24*ContribMargin*IF(Z$21=$B24,Ramp1,IF(Z$21=$B24+1,Ramp2,1))-$P24-INDEX(LicByYear,AL24,Z$21)))</f>
        <v>260186.599897432</v>
      </c>
      <c r="AA24" s="95">
        <f>IF(OR($C24="",AA$21&lt;$B24),0,IF(AA$21=$B24,OpenYearShare,1)*($N24*ContribMargin*IF(AA$21=$B24,Ramp1,IF(AA$21=$B24+1,Ramp2,1))-$P24-INDEX(LicByYear,AL24,AA$21)))</f>
        <v>260186.599897432</v>
      </c>
      <c r="AB24" s="95">
        <f>IF(OR($C24="",AB$21&lt;$B24),0,IF(AB$21=$B24,OpenYearShare,1)*($N24*ContribMargin*IF(AB$21=$B24,Ramp1,IF(AB$21=$B24+1,Ramp2,1))-$P24-INDEX(LicByYear,AL24,AB$21)))</f>
        <v>260186.599897432</v>
      </c>
      <c r="AC24" s="95">
        <f>IF(OR($C24="",AC$21&lt;$B24),0,IF(AC$21=$B24,OpenYearShare,1)*($N24*ContribMargin*IF(AC$21=$B24,Ramp1,IF(AC$21=$B24+1,Ramp2,1))-$P24-INDEX(LicByYear,AL24,AC$21)))</f>
        <v>260186.599897432</v>
      </c>
      <c r="AD24" s="95">
        <f>IF(OR($C24="",AD$21&lt;$B24),0,IF(AD$21=$B24,OpenYearShare,1)*($N24*ContribMargin*IF(AD$21=$B24,Ramp1,IF(AD$21=$B24+1,Ramp2,1))-$P24-INDEX(LicByYear,AL24,AD$21)))</f>
        <v>260186.599897432</v>
      </c>
      <c r="AF24" s="82">
        <f>AF23+IF($C24="SPLUS",1,0)</f>
        <v>1</v>
      </c>
      <c r="AG24" s="82">
        <f>AG23+IF($C24="S",1,0)</f>
        <v>1</v>
      </c>
      <c r="AH24" s="82">
        <f>AH23+IF($C24="D",1,0)</f>
        <v>1</v>
      </c>
      <c r="AI24" s="105">
        <f>IF(OR($A24&gt;PlanStores,AF23&gt;=INDEX(Target,1)),-1000000000,INDEX(Target,1)*$A24-AF23*PlanStores)</f>
        <v>-9</v>
      </c>
      <c r="AJ24" s="105">
        <f>IF(OR($A24&gt;PlanStores,AG23&gt;=INDEX(Target,2)),-1000000000,INDEX(Target,2)*$A24-AG23*PlanStores)</f>
        <v>15</v>
      </c>
      <c r="AK24" s="105">
        <f>IF(OR($A24&gt;PlanStores,AH23&gt;=INDEX(Target,3)),-1000000000,INDEX(Target,3)*$A24-AH23*PlanStores)</f>
        <v>24</v>
      </c>
      <c r="AL24" s="82">
        <f>IF($C24="","",MATCH($C24,TierCodes,0))</f>
        <v>3</v>
      </c>
      <c r="AM24" s="82">
        <f>IF($C24="","",IF(OR(StreetChoice="Typical street for its size",INDEX(Cand,AL24)=0),"",MOD($D24-1,INDEX(Cand,AL24))+1))</f>
        <v>1</v>
      </c>
      <c r="AN24" s="82">
        <f>IF(AM24="","",MATCH($C24&amp;"|"&amp;AM24,Melbourne!$AA$58:$AA$135,0))</f>
        <v>39</v>
      </c>
      <c r="AO24" s="76">
        <f>IF($C24="","",Ramp1*$N24*ContribMargin-$P24-INDEX(LicPlan,AL24))</f>
        <v>124334.754817432</v>
      </c>
      <c r="AP24" s="76">
        <f>IF($C24="","",Ramp2*$N24*ContribMargin-$P24-INDEX(LicPlan,AL24))</f>
        <v>216714.009471832</v>
      </c>
      <c r="AR24" s="61">
        <f>IF($C24="","",MAX(Scale!$C$7,($D24+Scale!$C$8*($A24-$D24))^LOG(Scale!$C$6,2)))</f>
        <v>0.9704410173431</v>
      </c>
      <c r="AS24" s="61">
        <f>IF($C24="","",1-IF(IF(Deal="Commit to the full plan",PlanStores,$A24)&gt;=PBAt4,Scale!$C$12,IF(IF(Deal="Commit to the full plan",PlanStores,$A24)&gt;=PBAt3,Scale!$C$11,IF(IF(Deal="Commit to the full plan",PlanStores,$A24)&gt;=PBAt2,Scale!$C$10,IF(IF(Deal="Commit to the full plan",PlanStores,$A24)&gt;=PBAt1,Scale!$C$9,0)))))</f>
        <v>0.98</v>
      </c>
      <c r="AT24" s="61">
        <f>IF($C24="","",MAX(Scale!$D$7,($D24+Scale!$D$8*($A24-$D24))^LOG(Scale!$D$6,2)))</f>
        <v>0.9</v>
      </c>
      <c r="AU24" s="61">
        <f>IF($C24="","",1-IF(IF(Deal="Commit to the full plan",PlanStores,$A24)&gt;=PBAt4,Scale!$D$12,IF(IF(Deal="Commit to the full plan",PlanStores,$A24)&gt;=PBAt3,Scale!$D$11,IF(IF(Deal="Commit to the full plan",PlanStores,$A24)&gt;=PBAt2,Scale!$D$10,IF(IF(Deal="Commit to the full plan",PlanStores,$A24)&gt;=PBAt1,Scale!$D$9,0)))))</f>
        <v>0.97</v>
      </c>
      <c r="AV24" s="61">
        <f>IF($C24="","",MAX(Scale!$E$7,($D24+Scale!$E$8*($A24-$D24))^LOG(Scale!$E$6,2)))</f>
        <v>0.806671837130516</v>
      </c>
      <c r="AW24" s="61">
        <f>IF($C24="","",1-IF(IF(Deal="Commit to the full plan",PlanStores,$A24)&gt;=PBAt4,Scale!$E$12,IF(IF(Deal="Commit to the full plan",PlanStores,$A24)&gt;=PBAt3,Scale!$E$11,IF(IF(Deal="Commit to the full plan",PlanStores,$A24)&gt;=PBAt2,Scale!$E$10,IF(IF(Deal="Commit to the full plan",PlanStores,$A24)&gt;=PBAt1,Scale!$E$9,0)))))</f>
        <v>0.95</v>
      </c>
    </row>
    <row r="25">
      <c r="A25" s="110" t="n">
        <v>4</v>
      </c>
      <c r="B25" s="111">
        <f>IF($A25&gt;PlanStores,"",1+COUNTIF(CumOpenings,"&lt;"&amp;$A25))</f>
        <v>2</v>
      </c>
      <c r="C25" s="14" t="str">
        <f>IF($A25&gt;PlanStores,"",IF(AND($A25=1,FlagshipFirst="Yes",INDEX(Target,1)&gt;0),"SPLUS",IF(AND(AI25&gt;=AJ25,AI25&gt;=AK25),"SPLUS",IF(AJ25&gt;=AK25,"S","D"))))</f>
        <v>S</v>
      </c>
      <c r="D25" s="111">
        <f>IF($C25="","",IF($C25="SPLUS",AF25,IF($C25="S",AG25,AH25)))</f>
        <v>2</v>
      </c>
      <c r="E25" s="112">
        <f>IF($C25="","",$D25+LearnShared*($A25-$D25))</f>
        <v>3</v>
      </c>
      <c r="F25" s="85">
        <f>IF($C25="","",MAX(LearnFloor,$E25^LOG(LearnRate,2)))</f>
        <v>0.846205986312342</v>
      </c>
      <c r="G25" s="85">
        <f>IF($C25="","",1-IF(IF(Deal="Commit to the full plan",PlanStores,$A25)&gt;=PBAt4,PBDisc4,IF(IF(Deal="Commit to the full plan",PlanStores,$A25)&gt;=PBAt3,PBDisc3,IF(IF(Deal="Commit to the full plan",PlanStores,$A25)&gt;=PBAt2,PBDisc2,IF(IF(Deal="Commit to the full plan",PlanStores,$A25)&gt;=PBAt1,PBDisc1,0)))))</f>
        <v>0.97</v>
      </c>
      <c r="H25" s="39">
        <f>IF($C25="","",INDEX(BaseL,AL25)*$F25+INDEX(BaseV,AL25)*$G25+INDEX(BaseN,AL25))</f>
        <v>735184.757405676</v>
      </c>
      <c r="I25" s="39">
        <f>IF($C25="","",$H25*(1+BuildInflation)^($B25-1))</f>
        <v>757240.300127846</v>
      </c>
      <c r="J25" s="40" t="str">
        <f>IF($C25="","",IF(AN25="",IF(INDEX(Cand,AL25)=0,"No street of this size","Typical "&amp;LOWER(INDEX(TierNames,AL25))&amp;" street"),INDEX(Melbourne!$B$58:$B$135,AN25)))</f>
        <v>Elizabeth St - Flinders St (East) - New footpath</v>
      </c>
      <c r="K25" s="40" t="str">
        <f>IF(OR($C25="",AN25=""),"",INDEX(Melbourne!$C$58:$C$135,AN25))</f>
        <v>Transit Spine</v>
      </c>
      <c r="L25" s="46">
        <f>IF($C25="","",IF(AN25="",INDEX(TypicalF,AL25),INDEX(Melbourne!$E$58:$E$135,AN25)))</f>
        <v>10518309</v>
      </c>
      <c r="M25" s="86">
        <f>IF($C25="","",IF(AN25="",INDEX(TypicalQ,AL25),INDEX(Melbourne!$N$58:$N$135,AN25)))</f>
        <v>0.6</v>
      </c>
      <c r="N25" s="39">
        <f>IF($C25="","",MIN($L25*Capture*$M25*Conversion*Ticket,INDEX(CapacityPsf,AL25)*INDEX(Area,AL25)))</f>
        <v>2310000</v>
      </c>
      <c r="O25" s="39">
        <f>IF($C25="","",INDEX(Area,AL25)*RentPsf*($L25/Fref)^RentElasticity)</f>
        <v>279297.823219257</v>
      </c>
      <c r="P25" s="39">
        <f>IF($C25="","",$O25+INDEX(RunOther,AL25))</f>
        <v>583883.39655259</v>
      </c>
      <c r="Q25" s="95">
        <f>IF($C25="","",$N25*ContribMargin-$P25-INDEX(LicPlan,AL25))</f>
        <v>631866.60344741</v>
      </c>
      <c r="R25" s="113">
        <f>IF($C25="","",IF(AND(AO25&gt;=$H25,AO25&gt;0),$H25/AO25,IF(AND(AO25+AP25&gt;=$H25,AP25&gt;0),1+($H25-AO25)/AP25,IF($Q25&gt;0,2+($H25-AO25-AP25)/$Q25,"Never"))))</f>
        <v>1.766764979259</v>
      </c>
      <c r="S25" s="39">
        <f>IF($C25="","",StockWeeks/52*$N25*(1-GrossMargin))</f>
        <v>124384.615384615</v>
      </c>
      <c r="U25" s="95">
        <f>IF(OR($C25="",U$21&lt;$B25),0,IF(U$21=$B25,OpenYearShare,1)*($N25*ContribMargin*IF(U$21=$B25,Ramp1,IF(U$21=$B25+1,Ramp2,1))-$P25-INDEX(LicByYear,AL25,U$21)))</f>
        <v>0</v>
      </c>
      <c r="V25" s="95">
        <f>IF(OR($C25="",V$21&lt;$B25),0,IF(V$21=$B25,OpenYearShare,1)*($N25*ContribMargin*IF(V$21=$B25,Ramp1,IF(V$21=$B25+1,Ramp2,1))-$P25-INDEX(LicByYear,AL25,V$21)))</f>
        <v>161545.801723705</v>
      </c>
      <c r="W25" s="95">
        <f>IF(OR($C25="",W$21&lt;$B25),0,IF(W$21=$B25,OpenYearShare,1)*($N25*ContribMargin*IF(W$21=$B25,Ramp1,IF(W$21=$B25+1,Ramp2,1))-$P25-INDEX(LicByYear,AL25,W$21)))</f>
        <v>531222.60344741</v>
      </c>
      <c r="X25" s="95">
        <f>IF(OR($C25="",X$21&lt;$B25),0,IF(X$21=$B25,OpenYearShare,1)*($N25*ContribMargin*IF(X$21=$B25,Ramp1,IF(X$21=$B25+1,Ramp2,1))-$P25-INDEX(LicByYear,AL25,X$21)))</f>
        <v>631866.60344741</v>
      </c>
      <c r="Y25" s="95">
        <f>IF(OR($C25="",Y$21&lt;$B25),0,IF(Y$21=$B25,OpenYearShare,1)*($N25*ContribMargin*IF(Y$21=$B25,Ramp1,IF(Y$21=$B25+1,Ramp2,1))-$P25-INDEX(LicByYear,AL25,Y$21)))</f>
        <v>631866.60344741</v>
      </c>
      <c r="Z25" s="95">
        <f>IF(OR($C25="",Z$21&lt;$B25),0,IF(Z$21=$B25,OpenYearShare,1)*($N25*ContribMargin*IF(Z$21=$B25,Ramp1,IF(Z$21=$B25+1,Ramp2,1))-$P25-INDEX(LicByYear,AL25,Z$21)))</f>
        <v>631866.60344741</v>
      </c>
      <c r="AA25" s="95">
        <f>IF(OR($C25="",AA$21&lt;$B25),0,IF(AA$21=$B25,OpenYearShare,1)*($N25*ContribMargin*IF(AA$21=$B25,Ramp1,IF(AA$21=$B25+1,Ramp2,1))-$P25-INDEX(LicByYear,AL25,AA$21)))</f>
        <v>631866.60344741</v>
      </c>
      <c r="AB25" s="95">
        <f>IF(OR($C25="",AB$21&lt;$B25),0,IF(AB$21=$B25,OpenYearShare,1)*($N25*ContribMargin*IF(AB$21=$B25,Ramp1,IF(AB$21=$B25+1,Ramp2,1))-$P25-INDEX(LicByYear,AL25,AB$21)))</f>
        <v>631866.60344741</v>
      </c>
      <c r="AC25" s="95">
        <f>IF(OR($C25="",AC$21&lt;$B25),0,IF(AC$21=$B25,OpenYearShare,1)*($N25*ContribMargin*IF(AC$21=$B25,Ramp1,IF(AC$21=$B25+1,Ramp2,1))-$P25-INDEX(LicByYear,AL25,AC$21)))</f>
        <v>631866.60344741</v>
      </c>
      <c r="AD25" s="95">
        <f>IF(OR($C25="",AD$21&lt;$B25),0,IF(AD$21=$B25,OpenYearShare,1)*($N25*ContribMargin*IF(AD$21=$B25,Ramp1,IF(AD$21=$B25+1,Ramp2,1))-$P25-INDEX(LicByYear,AL25,AD$21)))</f>
        <v>631866.60344741</v>
      </c>
      <c r="AF25" s="82">
        <f>AF24+IF($C25="SPLUS",1,0)</f>
        <v>1</v>
      </c>
      <c r="AG25" s="82">
        <f>AG24+IF($C25="S",1,0)</f>
        <v>2</v>
      </c>
      <c r="AH25" s="82">
        <f>AH24+IF($C25="D",1,0)</f>
        <v>1</v>
      </c>
      <c r="AI25" s="105">
        <f>IF(OR($A25&gt;PlanStores,AF24&gt;=INDEX(Target,1)),-1000000000,INDEX(Target,1)*$A25-AF24*PlanStores)</f>
        <v>-2</v>
      </c>
      <c r="AJ25" s="105">
        <f>IF(OR($A25&gt;PlanStores,AG24&gt;=INDEX(Target,2)),-1000000000,INDEX(Target,2)*$A25-AG24*PlanStores)</f>
        <v>30</v>
      </c>
      <c r="AK25" s="105">
        <f>IF(OR($A25&gt;PlanStores,AH24&gt;=INDEX(Target,3)),-1000000000,INDEX(Target,3)*$A25-AH24*PlanStores)</f>
        <v>2</v>
      </c>
      <c r="AL25" s="82">
        <f>IF($C25="","",MATCH($C25,TierCodes,0))</f>
        <v>2</v>
      </c>
      <c r="AM25" s="82">
        <f>IF($C25="","",IF(OR(StreetChoice="Typical street for its size",INDEX(Cand,AL25)=0),"",MOD($D25-1,INDEX(Cand,AL25))+1))</f>
        <v>2</v>
      </c>
      <c r="AN25" s="82">
        <f>IF(AM25="","",MATCH($C25&amp;"|"&amp;AM25,Melbourne!$AA$58:$AA$135,0))</f>
        <v>5</v>
      </c>
      <c r="AO25" s="76">
        <f>IF($C25="","",Ramp1*$N25*ContribMargin-$P25-INDEX(LicPlan,AL25))</f>
        <v>325791.60344741</v>
      </c>
      <c r="AP25" s="76">
        <f>IF($C25="","",Ramp2*$N25*ContribMargin-$P25-INDEX(LicPlan,AL25))</f>
        <v>533922.60344741</v>
      </c>
      <c r="AR25" s="61">
        <f>IF($C25="","",MAX(Scale!$C$7,($D25+Scale!$C$8*($A25-$D25))^LOG(Scale!$C$6,2)))</f>
        <v>0.934441693837572</v>
      </c>
      <c r="AS25" s="61">
        <f>IF($C25="","",1-IF(IF(Deal="Commit to the full plan",PlanStores,$A25)&gt;=PBAt4,Scale!$C$12,IF(IF(Deal="Commit to the full plan",PlanStores,$A25)&gt;=PBAt3,Scale!$C$11,IF(IF(Deal="Commit to the full plan",PlanStores,$A25)&gt;=PBAt2,Scale!$C$10,IF(IF(Deal="Commit to the full plan",PlanStores,$A25)&gt;=PBAt1,Scale!$C$9,0)))))</f>
        <v>0.98</v>
      </c>
      <c r="AT25" s="61">
        <f>IF($C25="","",MAX(Scale!$D$7,($D25+Scale!$D$8*($A25-$D25))^LOG(Scale!$D$6,2)))</f>
        <v>0.846205986312342</v>
      </c>
      <c r="AU25" s="61">
        <f>IF($C25="","",1-IF(IF(Deal="Commit to the full plan",PlanStores,$A25)&gt;=PBAt4,Scale!$D$12,IF(IF(Deal="Commit to the full plan",PlanStores,$A25)&gt;=PBAt3,Scale!$D$11,IF(IF(Deal="Commit to the full plan",PlanStores,$A25)&gt;=PBAt2,Scale!$D$10,IF(IF(Deal="Commit to the full plan",PlanStores,$A25)&gt;=PBAt1,Scale!$D$9,0)))))</f>
        <v>0.97</v>
      </c>
      <c r="AV25" s="61">
        <f>IF($C25="","",MAX(Scale!$E$7,($D25+Scale!$E$8*($A25-$D25))^LOG(Scale!$E$6,2)))</f>
        <v>0.745478200125948</v>
      </c>
      <c r="AW25" s="61">
        <f>IF($C25="","",1-IF(IF(Deal="Commit to the full plan",PlanStores,$A25)&gt;=PBAt4,Scale!$E$12,IF(IF(Deal="Commit to the full plan",PlanStores,$A25)&gt;=PBAt3,Scale!$E$11,IF(IF(Deal="Commit to the full plan",PlanStores,$A25)&gt;=PBAt2,Scale!$E$10,IF(IF(Deal="Commit to the full plan",PlanStores,$A25)&gt;=PBAt1,Scale!$E$9,0)))))</f>
        <v>0.95</v>
      </c>
    </row>
    <row r="26">
      <c r="A26" s="110" t="n">
        <v>5</v>
      </c>
      <c r="B26" s="111">
        <f>IF($A26&gt;PlanStores,"",1+COUNTIF(CumOpenings,"&lt;"&amp;$A26))</f>
        <v>2</v>
      </c>
      <c r="C26" s="14" t="str">
        <f>IF($A26&gt;PlanStores,"",IF(AND($A26=1,FlagshipFirst="Yes",INDEX(Target,1)&gt;0),"SPLUS",IF(AND(AI26&gt;=AJ26,AI26&gt;=AK26),"SPLUS",IF(AJ26&gt;=AK26,"S","D"))))</f>
        <v>S</v>
      </c>
      <c r="D26" s="111">
        <f>IF($C26="","",IF($C26="SPLUS",AF26,IF($C26="S",AG26,AH26)))</f>
        <v>3</v>
      </c>
      <c r="E26" s="112">
        <f>IF($C26="","",$D26+LearnShared*($A26-$D26))</f>
        <v>4</v>
      </c>
      <c r="F26" s="85">
        <f>IF($C26="","",MAX(LearnFloor,$E26^LOG(LearnRate,2)))</f>
        <v>0.81</v>
      </c>
      <c r="G26" s="85">
        <f>IF($C26="","",1-IF(IF(Deal="Commit to the full plan",PlanStores,$A26)&gt;=PBAt4,PBDisc4,IF(IF(Deal="Commit to the full plan",PlanStores,$A26)&gt;=PBAt3,PBDisc3,IF(IF(Deal="Commit to the full plan",PlanStores,$A26)&gt;=PBAt2,PBDisc2,IF(IF(Deal="Commit to the full plan",PlanStores,$A26)&gt;=PBAt1,PBDisc1,0)))))</f>
        <v>0.97</v>
      </c>
      <c r="H26" s="39">
        <f>IF($C26="","",INDEX(BaseL,AL26)*$F26+INDEX(BaseV,AL26)*$G26+INDEX(BaseN,AL26))</f>
        <v>722106.25</v>
      </c>
      <c r="I26" s="39">
        <f>IF($C26="","",$H26*(1+BuildInflation)^($B26-1))</f>
        <v>743769.4375</v>
      </c>
      <c r="J26" s="40" t="str">
        <f>IF($C26="","",IF(AN26="",IF(INDEX(Cand,AL26)=0,"No street of this size","Typical "&amp;LOWER(INDEX(TierNames,AL26))&amp;" street"),INDEX(Melbourne!$B$58:$B$135,AN26)))</f>
        <v>Spencer St-Collins St (North)</v>
      </c>
      <c r="K26" s="40" t="str">
        <f>IF(OR($C26="",AN26=""),"",INDEX(Melbourne!$C$58:$C$135,AN26))</f>
        <v>Commuter Corridor</v>
      </c>
      <c r="L26" s="46">
        <f>IF($C26="","",IF(AN26="",INDEX(TypicalF,AL26),INDEX(Melbourne!$E$58:$E$135,AN26)))</f>
        <v>7888311</v>
      </c>
      <c r="M26" s="86">
        <f>IF($C26="","",IF(AN26="",INDEX(TypicalQ,AL26),INDEX(Melbourne!$N$58:$N$135,AN26)))</f>
        <v>0.5</v>
      </c>
      <c r="N26" s="39">
        <f>IF($C26="","",MIN($L26*Capture*$M26*Conversion*Ticket,INDEX(CapacityPsf,AL26)*INDEX(Area,AL26)))</f>
        <v>1893194.64</v>
      </c>
      <c r="O26" s="39">
        <f>IF($C26="","",INDEX(Area,AL26)*RentPsf*($L26/Fref)^RentElasticity)</f>
        <v>238417.706347625</v>
      </c>
      <c r="P26" s="39">
        <f>IF($C26="","",$O26+INDEX(RunOther,AL26))</f>
        <v>543003.279680958</v>
      </c>
      <c r="Q26" s="95">
        <f>IF($C26="","",$N26*ContribMargin-$P26-INDEX(LicPlan,AL26))</f>
        <v>451839.879519042</v>
      </c>
      <c r="R26" s="113">
        <f>IF($C26="","",IF(AND(AO26&gt;=$H26,AO26&gt;0),$H26/AO26,IF(AND(AO26+AP26&gt;=$H26,AP26&gt;0),1+($H26-AO26)/AP26,IF($Q26&gt;0,2+($H26-AO26-AP26)/$Q26,"Never"))))</f>
        <v>2.33097174524989</v>
      </c>
      <c r="S26" s="39">
        <f>IF($C26="","",StockWeeks/52*$N26*(1-GrossMargin))</f>
        <v>101941.249846154</v>
      </c>
      <c r="U26" s="95">
        <f>IF(OR($C26="",U$21&lt;$B26),0,IF(U$21=$B26,OpenYearShare,1)*($N26*ContribMargin*IF(U$21=$B26,Ramp1,IF(U$21=$B26+1,Ramp2,1))-$P26-INDEX(LicByYear,AL26,U$21)))</f>
        <v>0</v>
      </c>
      <c r="V26" s="95">
        <f>IF(OR($C26="",V$21&lt;$B26),0,IF(V$21=$B26,OpenYearShare,1)*($N26*ContribMargin*IF(V$21=$B26,Ramp1,IF(V$21=$B26+1,Ramp2,1))-$P26-INDEX(LicByYear,AL26,V$21)))</f>
        <v>99145.7948595209</v>
      </c>
      <c r="W26" s="95">
        <f>IF(OR($C26="",W$21&lt;$B26),0,IF(W$21=$B26,OpenYearShare,1)*($N26*ContribMargin*IF(W$21=$B26,Ramp1,IF(W$21=$B26+1,Ramp2,1))-$P26-INDEX(LicByYear,AL26,W$21)))</f>
        <v>368868.426783042</v>
      </c>
      <c r="X26" s="95">
        <f>IF(OR($C26="",X$21&lt;$B26),0,IF(X$21=$B26,OpenYearShare,1)*($N26*ContribMargin*IF(X$21=$B26,Ramp1,IF(X$21=$B26+1,Ramp2,1))-$P26-INDEX(LicByYear,AL26,X$21)))</f>
        <v>451839.879519042</v>
      </c>
      <c r="Y26" s="95">
        <f>IF(OR($C26="",Y$21&lt;$B26),0,IF(Y$21=$B26,OpenYearShare,1)*($N26*ContribMargin*IF(Y$21=$B26,Ramp1,IF(Y$21=$B26+1,Ramp2,1))-$P26-INDEX(LicByYear,AL26,Y$21)))</f>
        <v>451839.879519042</v>
      </c>
      <c r="Z26" s="95">
        <f>IF(OR($C26="",Z$21&lt;$B26),0,IF(Z$21=$B26,OpenYearShare,1)*($N26*ContribMargin*IF(Z$21=$B26,Ramp1,IF(Z$21=$B26+1,Ramp2,1))-$P26-INDEX(LicByYear,AL26,Z$21)))</f>
        <v>451839.879519042</v>
      </c>
      <c r="AA26" s="95">
        <f>IF(OR($C26="",AA$21&lt;$B26),0,IF(AA$21=$B26,OpenYearShare,1)*($N26*ContribMargin*IF(AA$21=$B26,Ramp1,IF(AA$21=$B26+1,Ramp2,1))-$P26-INDEX(LicByYear,AL26,AA$21)))</f>
        <v>451839.879519042</v>
      </c>
      <c r="AB26" s="95">
        <f>IF(OR($C26="",AB$21&lt;$B26),0,IF(AB$21=$B26,OpenYearShare,1)*($N26*ContribMargin*IF(AB$21=$B26,Ramp1,IF(AB$21=$B26+1,Ramp2,1))-$P26-INDEX(LicByYear,AL26,AB$21)))</f>
        <v>451839.879519042</v>
      </c>
      <c r="AC26" s="95">
        <f>IF(OR($C26="",AC$21&lt;$B26),0,IF(AC$21=$B26,OpenYearShare,1)*($N26*ContribMargin*IF(AC$21=$B26,Ramp1,IF(AC$21=$B26+1,Ramp2,1))-$P26-INDEX(LicByYear,AL26,AC$21)))</f>
        <v>451839.879519042</v>
      </c>
      <c r="AD26" s="95">
        <f>IF(OR($C26="",AD$21&lt;$B26),0,IF(AD$21=$B26,OpenYearShare,1)*($N26*ContribMargin*IF(AD$21=$B26,Ramp1,IF(AD$21=$B26+1,Ramp2,1))-$P26-INDEX(LicByYear,AL26,AD$21)))</f>
        <v>451839.879519042</v>
      </c>
      <c r="AF26" s="82">
        <f>AF25+IF($C26="SPLUS",1,0)</f>
        <v>1</v>
      </c>
      <c r="AG26" s="82">
        <f>AG25+IF($C26="S",1,0)</f>
        <v>3</v>
      </c>
      <c r="AH26" s="82">
        <f>AH25+IF($C26="D",1,0)</f>
        <v>1</v>
      </c>
      <c r="AI26" s="105">
        <f>IF(OR($A26&gt;PlanStores,AF25&gt;=INDEX(Target,1)),-1000000000,INDEX(Target,1)*$A26-AF25*PlanStores)</f>
        <v>5</v>
      </c>
      <c r="AJ26" s="105">
        <f>IF(OR($A26&gt;PlanStores,AG25&gt;=INDEX(Target,2)),-1000000000,INDEX(Target,2)*$A26-AG25*PlanStores)</f>
        <v>15</v>
      </c>
      <c r="AK26" s="105">
        <f>IF(OR($A26&gt;PlanStores,AH25&gt;=INDEX(Target,3)),-1000000000,INDEX(Target,3)*$A26-AH25*PlanStores)</f>
        <v>10</v>
      </c>
      <c r="AL26" s="82">
        <f>IF($C26="","",MATCH($C26,TierCodes,0))</f>
        <v>2</v>
      </c>
      <c r="AM26" s="82">
        <f>IF($C26="","",IF(OR(StreetChoice="Typical street for its size",INDEX(Cand,AL26)=0),"",MOD($D26-1,INDEX(Cand,AL26))+1))</f>
        <v>3</v>
      </c>
      <c r="AN26" s="82">
        <f>IF(AM26="","",MATCH($C26&amp;"|"&amp;AM26,Melbourne!$AA$58:$AA$135,0))</f>
        <v>8</v>
      </c>
      <c r="AO26" s="76">
        <f>IF($C26="","",Ramp1*$N26*ContribMargin-$P26-INDEX(LicPlan,AL26))</f>
        <v>200991.589719042</v>
      </c>
      <c r="AP26" s="76">
        <f>IF($C26="","",Ramp2*$N26*ContribMargin-$P26-INDEX(LicPlan,AL26))</f>
        <v>371568.426783042</v>
      </c>
      <c r="AR26" s="61">
        <f>IF($C26="","",MAX(Scale!$C$7,($D26+Scale!$C$8*($A26-$D26))^LOG(Scale!$C$6,2)))</f>
        <v>0.911462170603214</v>
      </c>
      <c r="AS26" s="61">
        <f>IF($C26="","",1-IF(IF(Deal="Commit to the full plan",PlanStores,$A26)&gt;=PBAt4,Scale!$C$12,IF(IF(Deal="Commit to the full plan",PlanStores,$A26)&gt;=PBAt3,Scale!$C$11,IF(IF(Deal="Commit to the full plan",PlanStores,$A26)&gt;=PBAt2,Scale!$C$10,IF(IF(Deal="Commit to the full plan",PlanStores,$A26)&gt;=PBAt1,Scale!$C$9,0)))))</f>
        <v>0.98</v>
      </c>
      <c r="AT26" s="61">
        <f>IF($C26="","",MAX(Scale!$D$7,($D26+Scale!$D$8*($A26-$D26))^LOG(Scale!$D$6,2)))</f>
        <v>0.81</v>
      </c>
      <c r="AU26" s="61">
        <f>IF($C26="","",1-IF(IF(Deal="Commit to the full plan",PlanStores,$A26)&gt;=PBAt4,Scale!$D$12,IF(IF(Deal="Commit to the full plan",PlanStores,$A26)&gt;=PBAt3,Scale!$D$11,IF(IF(Deal="Commit to the full plan",PlanStores,$A26)&gt;=PBAt2,Scale!$D$10,IF(IF(Deal="Commit to the full plan",PlanStores,$A26)&gt;=PBAt1,Scale!$D$9,0)))))</f>
        <v>0.97</v>
      </c>
      <c r="AV26" s="61">
        <f>IF($C26="","",MAX(Scale!$E$7,($D26+Scale!$E$8*($A26-$D26))^LOG(Scale!$E$6,2)))</f>
        <v>0.702820405633428</v>
      </c>
      <c r="AW26" s="61">
        <f>IF($C26="","",1-IF(IF(Deal="Commit to the full plan",PlanStores,$A26)&gt;=PBAt4,Scale!$E$12,IF(IF(Deal="Commit to the full plan",PlanStores,$A26)&gt;=PBAt3,Scale!$E$11,IF(IF(Deal="Commit to the full plan",PlanStores,$A26)&gt;=PBAt2,Scale!$E$10,IF(IF(Deal="Commit to the full plan",PlanStores,$A26)&gt;=PBAt1,Scale!$E$9,0)))))</f>
        <v>0.95</v>
      </c>
    </row>
    <row r="27">
      <c r="A27" s="110" t="n">
        <v>6</v>
      </c>
      <c r="B27" s="111">
        <f>IF($A27&gt;PlanStores,"",1+COUNTIF(CumOpenings,"&lt;"&amp;$A27))</f>
        <v>2</v>
      </c>
      <c r="C27" s="14" t="str">
        <f>IF($A27&gt;PlanStores,"",IF(AND($A27=1,FlagshipFirst="Yes",INDEX(Target,1)&gt;0),"SPLUS",IF(AND(AI27&gt;=AJ27,AI27&gt;=AK27),"SPLUS",IF(AJ27&gt;=AK27,"S","D"))))</f>
        <v>D</v>
      </c>
      <c r="D27" s="111">
        <f>IF($C27="","",IF($C27="SPLUS",AF27,IF($C27="S",AG27,AH27)))</f>
        <v>2</v>
      </c>
      <c r="E27" s="112">
        <f>IF($C27="","",$D27+LearnShared*($A27-$D27))</f>
        <v>4</v>
      </c>
      <c r="F27" s="85">
        <f>IF($C27="","",MAX(LearnFloor,$E27^LOG(LearnRate,2)))</f>
        <v>0.81</v>
      </c>
      <c r="G27" s="85">
        <f>IF($C27="","",1-IF(IF(Deal="Commit to the full plan",PlanStores,$A27)&gt;=PBAt4,PBDisc4,IF(IF(Deal="Commit to the full plan",PlanStores,$A27)&gt;=PBAt3,PBDisc3,IF(IF(Deal="Commit to the full plan",PlanStores,$A27)&gt;=PBAt2,PBDisc2,IF(IF(Deal="Commit to the full plan",PlanStores,$A27)&gt;=PBAt1,PBDisc1,0)))))</f>
        <v>0.97</v>
      </c>
      <c r="H27" s="39">
        <f>IF($C27="","",INDEX(BaseL,AL27)*$F27+INDEX(BaseV,AL27)*$G27+INDEX(BaseN,AL27))</f>
        <v>408859.4</v>
      </c>
      <c r="I27" s="39">
        <f>IF($C27="","",$H27*(1+BuildInflation)^($B27-1))</f>
        <v>421125.182</v>
      </c>
      <c r="J27" s="40" t="str">
        <f>IF($C27="","",IF(AN27="",IF(INDEX(Cand,AL27)=0,"No street of this size","Typical "&amp;LOWER(INDEX(TierNames,AL27))&amp;" street"),INDEX(Melbourne!$B$58:$B$135,AN27)))</f>
        <v>Queen St (West)</v>
      </c>
      <c r="K27" s="40" t="str">
        <f>IF(OR($C27="",AN27=""),"",INDEX(Melbourne!$C$58:$C$135,AN27))</f>
        <v>Office / Weekday Core</v>
      </c>
      <c r="L27" s="46">
        <f>IF($C27="","",IF(AN27="",INDEX(TypicalF,AL27),INDEX(Melbourne!$E$58:$E$135,AN27)))</f>
        <v>1991270</v>
      </c>
      <c r="M27" s="86">
        <f>IF($C27="","",IF(AN27="",INDEX(TypicalQ,AL27),INDEX(Melbourne!$N$58:$N$135,AN27)))</f>
        <v>0.7</v>
      </c>
      <c r="N27" s="39">
        <f>IF($C27="","",MIN($L27*Capture*$M27*Conversion*Ticket,INDEX(CapacityPsf,AL27)*INDEX(Area,AL27)))</f>
        <v>669066.72</v>
      </c>
      <c r="O27" s="39">
        <f>IF($C27="","",INDEX(Area,AL27)*RentPsf*($L27/Fref)^RentElasticity)</f>
        <v>60992.6412044444</v>
      </c>
      <c r="P27" s="39">
        <f>IF($C27="","",$O27+INDEX(RunOther,AL27))</f>
        <v>261951.070537778</v>
      </c>
      <c r="Q27" s="95">
        <f>IF($C27="","",$N27*ContribMargin-$P27-INDEX(LicPlan,AL27))</f>
        <v>87524.2910622224</v>
      </c>
      <c r="R27" s="113">
        <f>IF($C27="","",IF(AND(AO27&gt;=$H27,AO27&gt;0),$H27/AO27,IF(AND(AO27+AP27&gt;=$H27,AP27&gt;0),1+($H27-AO27)/AP27,IF($Q27&gt;0,2+($H27-AO27-AP27)/$Q27,"Never"))))</f>
        <v>6.00837965033209</v>
      </c>
      <c r="S27" s="39">
        <f>IF($C27="","",StockWeeks/52*$N27*(1-GrossMargin))</f>
        <v>36026.6695384615</v>
      </c>
      <c r="U27" s="95">
        <f>IF(OR($C27="",U$21&lt;$B27),0,IF(U$21=$B27,OpenYearShare,1)*($N27*ContribMargin*IF(U$21=$B27,Ramp1,IF(U$21=$B27+1,Ramp2,1))-$P27-INDEX(LicByYear,AL27,U$21)))</f>
        <v>0</v>
      </c>
      <c r="V27" s="95">
        <f>IF(OR($C27="",V$21&lt;$B27),0,IF(V$21=$B27,OpenYearShare,1)*($N27*ContribMargin*IF(V$21=$B27,Ramp1,IF(V$21=$B27+1,Ramp2,1))-$P27-INDEX(LicByYear,AL27,V$21)))</f>
        <v>-1373.52466888881</v>
      </c>
      <c r="W27" s="95">
        <f>IF(OR($C27="",W$21&lt;$B27),0,IF(W$21=$B27,OpenYearShare,1)*($N27*ContribMargin*IF(W$21=$B27,Ramp1,IF(W$21=$B27+1,Ramp2,1))-$P27-INDEX(LicByYear,AL27,W$21)))</f>
        <v>57535.8621342224</v>
      </c>
      <c r="X27" s="95">
        <f>IF(OR($C27="",X$21&lt;$B27),0,IF(X$21=$B27,OpenYearShare,1)*($N27*ContribMargin*IF(X$21=$B27,Ramp1,IF(X$21=$B27+1,Ramp2,1))-$P27-INDEX(LicByYear,AL27,X$21)))</f>
        <v>87524.2910622224</v>
      </c>
      <c r="Y27" s="95">
        <f>IF(OR($C27="",Y$21&lt;$B27),0,IF(Y$21=$B27,OpenYearShare,1)*($N27*ContribMargin*IF(Y$21=$B27,Ramp1,IF(Y$21=$B27+1,Ramp2,1))-$P27-INDEX(LicByYear,AL27,Y$21)))</f>
        <v>87524.2910622224</v>
      </c>
      <c r="Z27" s="95">
        <f>IF(OR($C27="",Z$21&lt;$B27),0,IF(Z$21=$B27,OpenYearShare,1)*($N27*ContribMargin*IF(Z$21=$B27,Ramp1,IF(Z$21=$B27+1,Ramp2,1))-$P27-INDEX(LicByYear,AL27,Z$21)))</f>
        <v>87524.2910622224</v>
      </c>
      <c r="AA27" s="95">
        <f>IF(OR($C27="",AA$21&lt;$B27),0,IF(AA$21=$B27,OpenYearShare,1)*($N27*ContribMargin*IF(AA$21=$B27,Ramp1,IF(AA$21=$B27+1,Ramp2,1))-$P27-INDEX(LicByYear,AL27,AA$21)))</f>
        <v>87524.2910622224</v>
      </c>
      <c r="AB27" s="95">
        <f>IF(OR($C27="",AB$21&lt;$B27),0,IF(AB$21=$B27,OpenYearShare,1)*($N27*ContribMargin*IF(AB$21=$B27,Ramp1,IF(AB$21=$B27+1,Ramp2,1))-$P27-INDEX(LicByYear,AL27,AB$21)))</f>
        <v>87524.2910622224</v>
      </c>
      <c r="AC27" s="95">
        <f>IF(OR($C27="",AC$21&lt;$B27),0,IF(AC$21=$B27,OpenYearShare,1)*($N27*ContribMargin*IF(AC$21=$B27,Ramp1,IF(AC$21=$B27+1,Ramp2,1))-$P27-INDEX(LicByYear,AL27,AC$21)))</f>
        <v>87524.2910622224</v>
      </c>
      <c r="AD27" s="95">
        <f>IF(OR($C27="",AD$21&lt;$B27),0,IF(AD$21=$B27,OpenYearShare,1)*($N27*ContribMargin*IF(AD$21=$B27,Ramp1,IF(AD$21=$B27+1,Ramp2,1))-$P27-INDEX(LicByYear,AL27,AD$21)))</f>
        <v>87524.2910622224</v>
      </c>
      <c r="AF27" s="82">
        <f>AF26+IF($C27="SPLUS",1,0)</f>
        <v>1</v>
      </c>
      <c r="AG27" s="82">
        <f>AG26+IF($C27="S",1,0)</f>
        <v>3</v>
      </c>
      <c r="AH27" s="82">
        <f>AH26+IF($C27="D",1,0)</f>
        <v>2</v>
      </c>
      <c r="AI27" s="105">
        <f>IF(OR($A27&gt;PlanStores,AF26&gt;=INDEX(Target,1)),-1000000000,INDEX(Target,1)*$A27-AF26*PlanStores)</f>
        <v>12</v>
      </c>
      <c r="AJ27" s="105">
        <f>IF(OR($A27&gt;PlanStores,AG26&gt;=INDEX(Target,2)),-1000000000,INDEX(Target,2)*$A27-AG26*PlanStores)</f>
        <v>0</v>
      </c>
      <c r="AK27" s="105">
        <f>IF(OR($A27&gt;PlanStores,AH26&gt;=INDEX(Target,3)),-1000000000,INDEX(Target,3)*$A27-AH26*PlanStores)</f>
        <v>18</v>
      </c>
      <c r="AL27" s="82">
        <f>IF($C27="","",MATCH($C27,TierCodes,0))</f>
        <v>3</v>
      </c>
      <c r="AM27" s="82">
        <f>IF($C27="","",IF(OR(StreetChoice="Typical street for its size",INDEX(Cand,AL27)=0),"",MOD($D27-1,INDEX(Cand,AL27))+1))</f>
        <v>2</v>
      </c>
      <c r="AN27" s="82">
        <f>IF(AM27="","",MATCH($C27&amp;"|"&amp;AM27,Melbourne!$AA$58:$AA$135,0))</f>
        <v>49</v>
      </c>
      <c r="AO27" s="76">
        <f>IF($C27="","",Ramp1*$N27*ContribMargin-$P27-INDEX(LicPlan,AL27))</f>
        <v>-1127.04933777769</v>
      </c>
      <c r="AP27" s="76">
        <f>IF($C27="","",Ramp2*$N27*ContribMargin-$P27-INDEX(LicPlan,AL27))</f>
        <v>59155.8621342224</v>
      </c>
      <c r="AR27" s="61">
        <f>IF($C27="","",MAX(Scale!$C$7,($D27+Scale!$C$8*($A27-$D27))^LOG(Scale!$C$6,2)))</f>
        <v>0.921918966475945</v>
      </c>
      <c r="AS27" s="61">
        <f>IF($C27="","",1-IF(IF(Deal="Commit to the full plan",PlanStores,$A27)&gt;=PBAt4,Scale!$C$12,IF(IF(Deal="Commit to the full plan",PlanStores,$A27)&gt;=PBAt3,Scale!$C$11,IF(IF(Deal="Commit to the full plan",PlanStores,$A27)&gt;=PBAt2,Scale!$C$10,IF(IF(Deal="Commit to the full plan",PlanStores,$A27)&gt;=PBAt1,Scale!$C$9,0)))))</f>
        <v>0.98</v>
      </c>
      <c r="AT27" s="61">
        <f>IF($C27="","",MAX(Scale!$D$7,($D27+Scale!$D$8*($A27-$D27))^LOG(Scale!$D$6,2)))</f>
        <v>0.81</v>
      </c>
      <c r="AU27" s="61">
        <f>IF($C27="","",1-IF(IF(Deal="Commit to the full plan",PlanStores,$A27)&gt;=PBAt4,Scale!$D$12,IF(IF(Deal="Commit to the full plan",PlanStores,$A27)&gt;=PBAt3,Scale!$D$11,IF(IF(Deal="Commit to the full plan",PlanStores,$A27)&gt;=PBAt2,Scale!$D$10,IF(IF(Deal="Commit to the full plan",PlanStores,$A27)&gt;=PBAt1,Scale!$D$9,0)))))</f>
        <v>0.97</v>
      </c>
      <c r="AV27" s="61">
        <f>IF($C27="","",MAX(Scale!$E$7,($D27+Scale!$E$8*($A27-$D27))^LOG(Scale!$E$6,2)))</f>
        <v>0.685671061560939</v>
      </c>
      <c r="AW27" s="61">
        <f>IF($C27="","",1-IF(IF(Deal="Commit to the full plan",PlanStores,$A27)&gt;=PBAt4,Scale!$E$12,IF(IF(Deal="Commit to the full plan",PlanStores,$A27)&gt;=PBAt3,Scale!$E$11,IF(IF(Deal="Commit to the full plan",PlanStores,$A27)&gt;=PBAt2,Scale!$E$10,IF(IF(Deal="Commit to the full plan",PlanStores,$A27)&gt;=PBAt1,Scale!$E$9,0)))))</f>
        <v>0.95</v>
      </c>
    </row>
    <row r="28">
      <c r="A28" s="110" t="n">
        <v>7</v>
      </c>
      <c r="B28" s="111">
        <f>IF($A28&gt;PlanStores,"",1+COUNTIF(CumOpenings,"&lt;"&amp;$A28))</f>
        <v>3</v>
      </c>
      <c r="C28" s="14" t="str">
        <f>IF($A28&gt;PlanStores,"",IF(AND($A28=1,FlagshipFirst="Yes",INDEX(Target,1)&gt;0),"SPLUS",IF(AND(AI28&gt;=AJ28,AI28&gt;=AK28),"SPLUS",IF(AJ28&gt;=AK28,"S","D"))))</f>
        <v>SPLUS</v>
      </c>
      <c r="D28" s="111">
        <f>IF($C28="","",IF($C28="SPLUS",AF28,IF($C28="S",AG28,AH28)))</f>
        <v>2</v>
      </c>
      <c r="E28" s="112">
        <f>IF($C28="","",$D28+LearnShared*($A28-$D28))</f>
        <v>4.5</v>
      </c>
      <c r="F28" s="85">
        <f>IF($C28="","",MAX(LearnFloor,$E28^LOG(LearnRate,2)))</f>
        <v>0.795627301412048</v>
      </c>
      <c r="G28" s="85">
        <f>IF($C28="","",1-IF(IF(Deal="Commit to the full plan",PlanStores,$A28)&gt;=PBAt4,PBDisc4,IF(IF(Deal="Commit to the full plan",PlanStores,$A28)&gt;=PBAt3,PBDisc3,IF(IF(Deal="Commit to the full plan",PlanStores,$A28)&gt;=PBAt2,PBDisc2,IF(IF(Deal="Commit to the full plan",PlanStores,$A28)&gt;=PBAt1,PBDisc1,0)))))</f>
        <v>0.97</v>
      </c>
      <c r="H28" s="39">
        <f>IF($C28="","",INDEX(BaseL,AL28)*$F28+INDEX(BaseV,AL28)*$G28+INDEX(BaseN,AL28))</f>
        <v>1273429.10382183</v>
      </c>
      <c r="I28" s="39">
        <f>IF($C28="","",$H28*(1+BuildInflation)^($B28-1))</f>
        <v>1350980.93624458</v>
      </c>
      <c r="J28" s="40" t="str">
        <f>IF($C28="","",IF(AN28="",IF(INDEX(Cand,AL28)=0,"No street of this size","Typical "&amp;LOWER(INDEX(TierNames,AL28))&amp;" street"),INDEX(Melbourne!$B$58:$B$135,AN28)))</f>
        <v>Southbank Promenade</v>
      </c>
      <c r="K28" s="40" t="str">
        <f>IF(OR($C28="",AN28=""),"",INDEX(Melbourne!$C$58:$C$135,AN28))</f>
        <v>Destination Retail</v>
      </c>
      <c r="L28" s="46">
        <f>IF($C28="","",IF(AN28="",INDEX(TypicalF,AL28),INDEX(Melbourne!$E$58:$E$135,AN28)))</f>
        <v>11551576</v>
      </c>
      <c r="M28" s="86">
        <f>IF($C28="","",IF(AN28="",INDEX(TypicalQ,AL28),INDEX(Melbourne!$N$58:$N$135,AN28)))</f>
        <v>1.2</v>
      </c>
      <c r="N28" s="39">
        <f>IF($C28="","",MIN($L28*Capture*$M28*Conversion*Ticket,INDEX(CapacityPsf,AL28)*INDEX(Area,AL28)))</f>
        <v>5440000</v>
      </c>
      <c r="O28" s="39">
        <f>IF($C28="","",INDEX(Area,AL28)*RentPsf*($L28/Fref)^RentElasticity)</f>
        <v>605961.3811973</v>
      </c>
      <c r="P28" s="39">
        <f>IF($C28="","",$O28+INDEX(RunOther,AL28))</f>
        <v>1104255.12786397</v>
      </c>
      <c r="Q28" s="95">
        <f>IF($C28="","",$N28*ContribMargin-$P28-INDEX(LicPlan,AL28))</f>
        <v>1766119.87213603</v>
      </c>
      <c r="R28" s="113">
        <f>IF($C28="","",IF(AND(AO28&gt;=$H28,AO28&gt;0),$H28/AO28,IF(AND(AO28+AP28&gt;=$H28,AP28&gt;0),1+($H28-AO28)/AP28,IF($Q28&gt;0,2+($H28-AO28-AP28)/$Q28,"Never"))))</f>
        <v>1.14856046815902</v>
      </c>
      <c r="S28" s="39">
        <f>IF($C28="","",StockWeeks/52*$N28*(1-GrossMargin))</f>
        <v>292923.076923077</v>
      </c>
      <c r="U28" s="95">
        <f>IF(OR($C28="",U$21&lt;$B28),0,IF(U$21=$B28,OpenYearShare,1)*($N28*ContribMargin*IF(U$21=$B28,Ramp1,IF(U$21=$B28+1,Ramp2,1))-$P28-INDEX(LicByYear,AL28,U$21)))</f>
        <v>0</v>
      </c>
      <c r="V28" s="95">
        <f>IF(OR($C28="",V$21&lt;$B28),0,IF(V$21=$B28,OpenYearShare,1)*($N28*ContribMargin*IF(V$21=$B28,Ramp1,IF(V$21=$B28+1,Ramp2,1))-$P28-INDEX(LicByYear,AL28,V$21)))</f>
        <v>0</v>
      </c>
      <c r="W28" s="95">
        <f>IF(OR($C28="",W$21&lt;$B28),0,IF(W$21=$B28,OpenYearShare,1)*($N28*ContribMargin*IF(W$21=$B28,Ramp1,IF(W$21=$B28+1,Ramp2,1))-$P28-INDEX(LicByYear,AL28,W$21)))</f>
        <v>520634.936068017</v>
      </c>
      <c r="X28" s="95">
        <f>IF(OR($C28="",X$21&lt;$B28),0,IF(X$21=$B28,OpenYearShare,1)*($N28*ContribMargin*IF(X$21=$B28,Ramp1,IF(X$21=$B28+1,Ramp2,1))-$P28-INDEX(LicByYear,AL28,X$21)))</f>
        <v>1535463.87213603</v>
      </c>
      <c r="Y28" s="95">
        <f>IF(OR($C28="",Y$21&lt;$B28),0,IF(Y$21=$B28,OpenYearShare,1)*($N28*ContribMargin*IF(Y$21=$B28,Ramp1,IF(Y$21=$B28+1,Ramp2,1))-$P28-INDEX(LicByYear,AL28,Y$21)))</f>
        <v>1766119.87213603</v>
      </c>
      <c r="Z28" s="95">
        <f>IF(OR($C28="",Z$21&lt;$B28),0,IF(Z$21=$B28,OpenYearShare,1)*($N28*ContribMargin*IF(Z$21=$B28,Ramp1,IF(Z$21=$B28+1,Ramp2,1))-$P28-INDEX(LicByYear,AL28,Z$21)))</f>
        <v>1766119.87213603</v>
      </c>
      <c r="AA28" s="95">
        <f>IF(OR($C28="",AA$21&lt;$B28),0,IF(AA$21=$B28,OpenYearShare,1)*($N28*ContribMargin*IF(AA$21=$B28,Ramp1,IF(AA$21=$B28+1,Ramp2,1))-$P28-INDEX(LicByYear,AL28,AA$21)))</f>
        <v>1766119.87213603</v>
      </c>
      <c r="AB28" s="95">
        <f>IF(OR($C28="",AB$21&lt;$B28),0,IF(AB$21=$B28,OpenYearShare,1)*($N28*ContribMargin*IF(AB$21=$B28,Ramp1,IF(AB$21=$B28+1,Ramp2,1))-$P28-INDEX(LicByYear,AL28,AB$21)))</f>
        <v>1766119.87213603</v>
      </c>
      <c r="AC28" s="95">
        <f>IF(OR($C28="",AC$21&lt;$B28),0,IF(AC$21=$B28,OpenYearShare,1)*($N28*ContribMargin*IF(AC$21=$B28,Ramp1,IF(AC$21=$B28+1,Ramp2,1))-$P28-INDEX(LicByYear,AL28,AC$21)))</f>
        <v>1766119.87213603</v>
      </c>
      <c r="AD28" s="95">
        <f>IF(OR($C28="",AD$21&lt;$B28),0,IF(AD$21=$B28,OpenYearShare,1)*($N28*ContribMargin*IF(AD$21=$B28,Ramp1,IF(AD$21=$B28+1,Ramp2,1))-$P28-INDEX(LicByYear,AL28,AD$21)))</f>
        <v>1766119.87213603</v>
      </c>
      <c r="AF28" s="82">
        <f>AF27+IF($C28="SPLUS",1,0)</f>
        <v>2</v>
      </c>
      <c r="AG28" s="82">
        <f>AG27+IF($C28="S",1,0)</f>
        <v>3</v>
      </c>
      <c r="AH28" s="82">
        <f>AH27+IF($C28="D",1,0)</f>
        <v>2</v>
      </c>
      <c r="AI28" s="105">
        <f>IF(OR($A28&gt;PlanStores,AF27&gt;=INDEX(Target,1)),-1000000000,INDEX(Target,1)*$A28-AF27*PlanStores)</f>
        <v>19</v>
      </c>
      <c r="AJ28" s="105">
        <f>IF(OR($A28&gt;PlanStores,AG27&gt;=INDEX(Target,2)),-1000000000,INDEX(Target,2)*$A28-AG27*PlanStores)</f>
        <v>15</v>
      </c>
      <c r="AK28" s="105">
        <f>IF(OR($A28&gt;PlanStores,AH27&gt;=INDEX(Target,3)),-1000000000,INDEX(Target,3)*$A28-AH27*PlanStores)</f>
        <v>-4</v>
      </c>
      <c r="AL28" s="82">
        <f>IF($C28="","",MATCH($C28,TierCodes,0))</f>
        <v>1</v>
      </c>
      <c r="AM28" s="82">
        <f>IF($C28="","",IF(OR(StreetChoice="Typical street for its size",INDEX(Cand,AL28)=0),"",MOD($D28-1,INDEX(Cand,AL28))+1))</f>
        <v>2</v>
      </c>
      <c r="AN28" s="82">
        <f>IF(AM28="","",MATCH($C28&amp;"|"&amp;AM28,Melbourne!$AA$58:$AA$135,0))</f>
        <v>3</v>
      </c>
      <c r="AO28" s="76">
        <f>IF($C28="","",Ramp1*$N28*ContribMargin-$P28-INDEX(LicPlan,AL28))</f>
        <v>1045319.87213603</v>
      </c>
      <c r="AP28" s="76">
        <f>IF($C28="","",Ramp2*$N28*ContribMargin-$P28-INDEX(LicPlan,AL28))</f>
        <v>1535463.87213603</v>
      </c>
      <c r="AR28" s="61">
        <f>IF($C28="","",MAX(Scale!$C$7,($D28+Scale!$C$8*($A28-$D28))^LOG(Scale!$C$6,2)))</f>
        <v>0.916474390278896</v>
      </c>
      <c r="AS28" s="61">
        <f>IF($C28="","",1-IF(IF(Deal="Commit to the full plan",PlanStores,$A28)&gt;=PBAt4,Scale!$C$12,IF(IF(Deal="Commit to the full plan",PlanStores,$A28)&gt;=PBAt3,Scale!$C$11,IF(IF(Deal="Commit to the full plan",PlanStores,$A28)&gt;=PBAt2,Scale!$C$10,IF(IF(Deal="Commit to the full plan",PlanStores,$A28)&gt;=PBAt1,Scale!$C$9,0)))))</f>
        <v>0.98</v>
      </c>
      <c r="AT28" s="61">
        <f>IF($C28="","",MAX(Scale!$D$7,($D28+Scale!$D$8*($A28-$D28))^LOG(Scale!$D$6,2)))</f>
        <v>0.795627301412048</v>
      </c>
      <c r="AU28" s="61">
        <f>IF($C28="","",1-IF(IF(Deal="Commit to the full plan",PlanStores,$A28)&gt;=PBAt4,Scale!$D$12,IF(IF(Deal="Commit to the full plan",PlanStores,$A28)&gt;=PBAt3,Scale!$D$11,IF(IF(Deal="Commit to the full plan",PlanStores,$A28)&gt;=PBAt2,Scale!$D$10,IF(IF(Deal="Commit to the full plan",PlanStores,$A28)&gt;=PBAt1,Scale!$D$9,0)))))</f>
        <v>0.97</v>
      </c>
      <c r="AV28" s="61">
        <f>IF($C28="","",MAX(Scale!$E$7,($D28+Scale!$E$8*($A28-$D28))^LOG(Scale!$E$6,2)))</f>
        <v>0.663566245547926</v>
      </c>
      <c r="AW28" s="61">
        <f>IF($C28="","",1-IF(IF(Deal="Commit to the full plan",PlanStores,$A28)&gt;=PBAt4,Scale!$E$12,IF(IF(Deal="Commit to the full plan",PlanStores,$A28)&gt;=PBAt3,Scale!$E$11,IF(IF(Deal="Commit to the full plan",PlanStores,$A28)&gt;=PBAt2,Scale!$E$10,IF(IF(Deal="Commit to the full plan",PlanStores,$A28)&gt;=PBAt1,Scale!$E$9,0)))))</f>
        <v>0.95</v>
      </c>
    </row>
    <row r="29">
      <c r="A29" s="110" t="n">
        <v>8</v>
      </c>
      <c r="B29" s="111">
        <f>IF($A29&gt;PlanStores,"",1+COUNTIF(CumOpenings,"&lt;"&amp;$A29))</f>
        <v>3</v>
      </c>
      <c r="C29" s="14" t="str">
        <f>IF($A29&gt;PlanStores,"",IF(AND($A29=1,FlagshipFirst="Yes",INDEX(Target,1)&gt;0),"SPLUS",IF(AND(AI29&gt;=AJ29,AI29&gt;=AK29),"SPLUS",IF(AJ29&gt;=AK29,"S","D"))))</f>
        <v>S</v>
      </c>
      <c r="D29" s="111">
        <f>IF($C29="","",IF($C29="SPLUS",AF29,IF($C29="S",AG29,AH29)))</f>
        <v>4</v>
      </c>
      <c r="E29" s="112">
        <f>IF($C29="","",$D29+LearnShared*($A29-$D29))</f>
        <v>6</v>
      </c>
      <c r="F29" s="85">
        <f>IF($C29="","",MAX(LearnFloor,$E29^LOG(LearnRate,2)))</f>
        <v>0.761585387681108</v>
      </c>
      <c r="G29" s="85">
        <f>IF($C29="","",1-IF(IF(Deal="Commit to the full plan",PlanStores,$A29)&gt;=PBAt4,PBDisc4,IF(IF(Deal="Commit to the full plan",PlanStores,$A29)&gt;=PBAt3,PBDisc3,IF(IF(Deal="Commit to the full plan",PlanStores,$A29)&gt;=PBAt2,PBDisc2,IF(IF(Deal="Commit to the full plan",PlanStores,$A29)&gt;=PBAt1,PBDisc1,0)))))</f>
        <v>0.93</v>
      </c>
      <c r="H29" s="39">
        <f>IF($C29="","",INDEX(BaseL,AL29)*$F29+INDEX(BaseV,AL29)*$G29+INDEX(BaseN,AL29))</f>
        <v>692769.681665108</v>
      </c>
      <c r="I29" s="39">
        <f>IF($C29="","",$H29*(1+BuildInflation)^($B29-1))</f>
        <v>734959.355278513</v>
      </c>
      <c r="J29" s="40" t="str">
        <f>IF($C29="","",IF(AN29="",IF(INDEX(Cand,AL29)=0,"No street of this size","Typical "&amp;LOWER(INDEX(TierNames,AL29))&amp;" street"),INDEX(Melbourne!$B$58:$B$135,AN29)))</f>
        <v>Melbourne Central-Elizabeth St (East)</v>
      </c>
      <c r="K29" s="40" t="str">
        <f>IF(OR($C29="",AN29=""),"",INDEX(Melbourne!$C$58:$C$135,AN29))</f>
        <v>Transit Spine</v>
      </c>
      <c r="L29" s="46">
        <f>IF($C29="","",IF(AN29="",INDEX(TypicalF,AL29),INDEX(Melbourne!$E$58:$E$135,AN29)))</f>
        <v>7828789</v>
      </c>
      <c r="M29" s="86">
        <f>IF($C29="","",IF(AN29="",INDEX(TypicalQ,AL29),INDEX(Melbourne!$N$58:$N$135,AN29)))</f>
        <v>0.6</v>
      </c>
      <c r="N29" s="39">
        <f>IF($C29="","",MIN($L29*Capture*$M29*Conversion*Ticket,INDEX(CapacityPsf,AL29)*INDEX(Area,AL29)))</f>
        <v>2254691.232</v>
      </c>
      <c r="O29" s="39">
        <f>IF($C29="","",INDEX(Area,AL29)*RentPsf*($L29/Fref)^RentElasticity)</f>
        <v>237426.568443498</v>
      </c>
      <c r="P29" s="39">
        <f>IF($C29="","",$O29+INDEX(RunOther,AL29))</f>
        <v>542012.141776831</v>
      </c>
      <c r="Q29" s="95">
        <f>IF($C29="","",$N29*ContribMargin-$P29-INDEX(LicPlan,AL29))</f>
        <v>644424.211183169</v>
      </c>
      <c r="R29" s="113">
        <f>IF($C29="","",IF(AND(AO29&gt;=$H29,AO29&gt;0),$H29/AO29,IF(AND(AO29+AP29&gt;=$H29,AP29&gt;0),1+($H29-AO29)/AP29,IF($Q29&gt;0,2+($H29-AO29-AP29)/$Q29,"Never"))))</f>
        <v>1.6324272165634</v>
      </c>
      <c r="S29" s="39">
        <f>IF($C29="","",StockWeeks/52*$N29*(1-GrossMargin))</f>
        <v>121406.450953846</v>
      </c>
      <c r="U29" s="95">
        <f>IF(OR($C29="",U$21&lt;$B29),0,IF(U$21=$B29,OpenYearShare,1)*($N29*ContribMargin*IF(U$21=$B29,Ramp1,IF(U$21=$B29+1,Ramp2,1))-$P29-INDEX(LicByYear,AL29,U$21)))</f>
        <v>0</v>
      </c>
      <c r="V29" s="95">
        <f>IF(OR($C29="",V$21&lt;$B29),0,IF(V$21=$B29,OpenYearShare,1)*($N29*ContribMargin*IF(V$21=$B29,Ramp1,IF(V$21=$B29+1,Ramp2,1))-$P29-INDEX(LicByYear,AL29,V$21)))</f>
        <v>0</v>
      </c>
      <c r="W29" s="95">
        <f>IF(OR($C29="",W$21&lt;$B29),0,IF(W$21=$B29,OpenYearShare,1)*($N29*ContribMargin*IF(W$21=$B29,Ramp1,IF(W$21=$B29+1,Ramp2,1))-$P29-INDEX(LicByYear,AL29,W$21)))</f>
        <v>171488.811471585</v>
      </c>
      <c r="X29" s="95">
        <f>IF(OR($C29="",X$21&lt;$B29),0,IF(X$21=$B29,OpenYearShare,1)*($N29*ContribMargin*IF(X$21=$B29,Ramp1,IF(X$21=$B29+1,Ramp2,1))-$P29-INDEX(LicByYear,AL29,X$21)))</f>
        <v>548825.302946369</v>
      </c>
      <c r="Y29" s="95">
        <f>IF(OR($C29="",Y$21&lt;$B29),0,IF(Y$21=$B29,OpenYearShare,1)*($N29*ContribMargin*IF(Y$21=$B29,Ramp1,IF(Y$21=$B29+1,Ramp2,1))-$P29-INDEX(LicByYear,AL29,Y$21)))</f>
        <v>644424.211183169</v>
      </c>
      <c r="Z29" s="95">
        <f>IF(OR($C29="",Z$21&lt;$B29),0,IF(Z$21=$B29,OpenYearShare,1)*($N29*ContribMargin*IF(Z$21=$B29,Ramp1,IF(Z$21=$B29+1,Ramp2,1))-$P29-INDEX(LicByYear,AL29,Z$21)))</f>
        <v>644424.211183169</v>
      </c>
      <c r="AA29" s="95">
        <f>IF(OR($C29="",AA$21&lt;$B29),0,IF(AA$21=$B29,OpenYearShare,1)*($N29*ContribMargin*IF(AA$21=$B29,Ramp1,IF(AA$21=$B29+1,Ramp2,1))-$P29-INDEX(LicByYear,AL29,AA$21)))</f>
        <v>644424.211183169</v>
      </c>
      <c r="AB29" s="95">
        <f>IF(OR($C29="",AB$21&lt;$B29),0,IF(AB$21=$B29,OpenYearShare,1)*($N29*ContribMargin*IF(AB$21=$B29,Ramp1,IF(AB$21=$B29+1,Ramp2,1))-$P29-INDEX(LicByYear,AL29,AB$21)))</f>
        <v>644424.211183169</v>
      </c>
      <c r="AC29" s="95">
        <f>IF(OR($C29="",AC$21&lt;$B29),0,IF(AC$21=$B29,OpenYearShare,1)*($N29*ContribMargin*IF(AC$21=$B29,Ramp1,IF(AC$21=$B29+1,Ramp2,1))-$P29-INDEX(LicByYear,AL29,AC$21)))</f>
        <v>644424.211183169</v>
      </c>
      <c r="AD29" s="95">
        <f>IF(OR($C29="",AD$21&lt;$B29),0,IF(AD$21=$B29,OpenYearShare,1)*($N29*ContribMargin*IF(AD$21=$B29,Ramp1,IF(AD$21=$B29+1,Ramp2,1))-$P29-INDEX(LicByYear,AL29,AD$21)))</f>
        <v>644424.211183169</v>
      </c>
      <c r="AF29" s="82">
        <f>AF28+IF($C29="SPLUS",1,0)</f>
        <v>2</v>
      </c>
      <c r="AG29" s="82">
        <f>AG28+IF($C29="S",1,0)</f>
        <v>4</v>
      </c>
      <c r="AH29" s="82">
        <f>AH28+IF($C29="D",1,0)</f>
        <v>2</v>
      </c>
      <c r="AI29" s="105">
        <f>IF(OR($A29&gt;PlanStores,AF28&gt;=INDEX(Target,1)),-1000000000,INDEX(Target,1)*$A29-AF28*PlanStores)</f>
        <v>-4</v>
      </c>
      <c r="AJ29" s="105">
        <f>IF(OR($A29&gt;PlanStores,AG28&gt;=INDEX(Target,2)),-1000000000,INDEX(Target,2)*$A29-AG28*PlanStores)</f>
        <v>30</v>
      </c>
      <c r="AK29" s="105">
        <f>IF(OR($A29&gt;PlanStores,AH28&gt;=INDEX(Target,3)),-1000000000,INDEX(Target,3)*$A29-AH28*PlanStores)</f>
        <v>4</v>
      </c>
      <c r="AL29" s="82">
        <f>IF($C29="","",MATCH($C29,TierCodes,0))</f>
        <v>2</v>
      </c>
      <c r="AM29" s="82">
        <f>IF($C29="","",IF(OR(StreetChoice="Typical street for its size",INDEX(Cand,AL29)=0),"",MOD($D29-1,INDEX(Cand,AL29))+1))</f>
        <v>4</v>
      </c>
      <c r="AN29" s="82">
        <f>IF(AM29="","",MATCH($C29&amp;"|"&amp;AM29,Melbourne!$AA$58:$AA$135,0))</f>
        <v>9</v>
      </c>
      <c r="AO29" s="76">
        <f>IF($C29="","",Ramp1*$N29*ContribMargin-$P29-INDEX(LicPlan,AL29))</f>
        <v>345677.622943169</v>
      </c>
      <c r="AP29" s="76">
        <f>IF($C29="","",Ramp2*$N29*ContribMargin-$P29-INDEX(LicPlan,AL29))</f>
        <v>548825.302946369</v>
      </c>
      <c r="AR29" s="61">
        <f>IF($C29="","",MAX(Scale!$C$7,($D29+Scale!$C$8*($A29-$D29))^LOG(Scale!$C$6,2)))</f>
        <v>0.887719609145694</v>
      </c>
      <c r="AS29" s="61">
        <f>IF($C29="","",1-IF(IF(Deal="Commit to the full plan",PlanStores,$A29)&gt;=PBAt4,Scale!$C$12,IF(IF(Deal="Commit to the full plan",PlanStores,$A29)&gt;=PBAt3,Scale!$C$11,IF(IF(Deal="Commit to the full plan",PlanStores,$A29)&gt;=PBAt2,Scale!$C$10,IF(IF(Deal="Commit to the full plan",PlanStores,$A29)&gt;=PBAt1,Scale!$C$9,0)))))</f>
        <v>0.96</v>
      </c>
      <c r="AT29" s="61">
        <f>IF($C29="","",MAX(Scale!$D$7,($D29+Scale!$D$8*($A29-$D29))^LOG(Scale!$D$6,2)))</f>
        <v>0.761585387681108</v>
      </c>
      <c r="AU29" s="61">
        <f>IF($C29="","",1-IF(IF(Deal="Commit to the full plan",PlanStores,$A29)&gt;=PBAt4,Scale!$D$12,IF(IF(Deal="Commit to the full plan",PlanStores,$A29)&gt;=PBAt3,Scale!$D$11,IF(IF(Deal="Commit to the full plan",PlanStores,$A29)&gt;=PBAt2,Scale!$D$10,IF(IF(Deal="Commit to the full plan",PlanStores,$A29)&gt;=PBAt1,Scale!$D$9,0)))))</f>
        <v>0.93</v>
      </c>
      <c r="AV29" s="61">
        <f>IF($C29="","",MAX(Scale!$E$7,($D29+Scale!$E$8*($A29-$D29))^LOG(Scale!$E$6,2)))</f>
        <v>0.633656470107056</v>
      </c>
      <c r="AW29" s="61">
        <f>IF($C29="","",1-IF(IF(Deal="Commit to the full plan",PlanStores,$A29)&gt;=PBAt4,Scale!$E$12,IF(IF(Deal="Commit to the full plan",PlanStores,$A29)&gt;=PBAt3,Scale!$E$11,IF(IF(Deal="Commit to the full plan",PlanStores,$A29)&gt;=PBAt2,Scale!$E$10,IF(IF(Deal="Commit to the full plan",PlanStores,$A29)&gt;=PBAt1,Scale!$E$9,0)))))</f>
        <v>0.91</v>
      </c>
    </row>
    <row r="30">
      <c r="A30" s="110" t="n">
        <v>9</v>
      </c>
      <c r="B30" s="111">
        <f>IF($A30&gt;PlanStores,"",1+COUNTIF(CumOpenings,"&lt;"&amp;$A30))</f>
        <v>3</v>
      </c>
      <c r="C30" s="14" t="str">
        <f>IF($A30&gt;PlanStores,"",IF(AND($A30=1,FlagshipFirst="Yes",INDEX(Target,1)&gt;0),"SPLUS",IF(AND(AI30&gt;=AJ30,AI30&gt;=AK30),"SPLUS",IF(AJ30&gt;=AK30,"S","D"))))</f>
        <v>S</v>
      </c>
      <c r="D30" s="111">
        <f>IF($C30="","",IF($C30="SPLUS",AF30,IF($C30="S",AG30,AH30)))</f>
        <v>5</v>
      </c>
      <c r="E30" s="112">
        <f>IF($C30="","",$D30+LearnShared*($A30-$D30))</f>
        <v>7</v>
      </c>
      <c r="F30" s="85">
        <f>IF($C30="","",MAX(LearnFloor,$E30^LOG(LearnRate,2)))</f>
        <v>0.743947833982242</v>
      </c>
      <c r="G30" s="85">
        <f>IF($C30="","",1-IF(IF(Deal="Commit to the full plan",PlanStores,$A30)&gt;=PBAt4,PBDisc4,IF(IF(Deal="Commit to the full plan",PlanStores,$A30)&gt;=PBAt3,PBDisc3,IF(IF(Deal="Commit to the full plan",PlanStores,$A30)&gt;=PBAt2,PBDisc2,IF(IF(Deal="Commit to the full plan",PlanStores,$A30)&gt;=PBAt1,PBDisc1,0)))))</f>
        <v>0.93</v>
      </c>
      <c r="H30" s="39">
        <f>IF($C30="","",INDEX(BaseL,AL30)*$F30+INDEX(BaseV,AL30)*$G30+INDEX(BaseN,AL30))</f>
        <v>686398.556330235</v>
      </c>
      <c r="I30" s="39">
        <f>IF($C30="","",$H30*(1+BuildInflation)^($B30-1))</f>
        <v>728200.228410747</v>
      </c>
      <c r="J30" s="40" t="str">
        <f>IF($C30="","",IF(AN30="",IF(INDEX(Cand,AL30)=0,"No street of this size","Typical "&amp;LOWER(INDEX(TierNames,AL30))&amp;" street"),INDEX(Melbourne!$B$58:$B$135,AN30)))</f>
        <v>Swanston St - City Square</v>
      </c>
      <c r="K30" s="40" t="str">
        <f>IF(OR($C30="",AN30=""),"",INDEX(Melbourne!$C$58:$C$135,AN30))</f>
        <v>Transit Spine</v>
      </c>
      <c r="L30" s="46">
        <f>IF($C30="","",IF(AN30="",INDEX(TypicalF,AL30),INDEX(Melbourne!$E$58:$E$135,AN30)))</f>
        <v>7457528</v>
      </c>
      <c r="M30" s="86">
        <f>IF($C30="","",IF(AN30="",INDEX(TypicalQ,AL30),INDEX(Melbourne!$N$58:$N$135,AN30)))</f>
        <v>0.6</v>
      </c>
      <c r="N30" s="39">
        <f>IF($C30="","",MIN($L30*Capture*$M30*Conversion*Ticket,INDEX(CapacityPsf,AL30)*INDEX(Area,AL30)))</f>
        <v>2147768.064</v>
      </c>
      <c r="O30" s="39">
        <f>IF($C30="","",INDEX(Area,AL30)*RentPsf*($L30/Fref)^RentElasticity)</f>
        <v>231166.279374614</v>
      </c>
      <c r="P30" s="39">
        <f>IF($C30="","",$O30+INDEX(RunOther,AL30))</f>
        <v>535751.852707947</v>
      </c>
      <c r="Q30" s="95">
        <f>IF($C30="","",$N30*ContribMargin-$P30-INDEX(LicPlan,AL30))</f>
        <v>594015.221212053</v>
      </c>
      <c r="R30" s="113">
        <f>IF($C30="","",IF(AND(AO30&gt;=$H30,AO30&gt;0),$H30/AO30,IF(AND(AO30+AP30&gt;=$H30,AP30&gt;0),1+($H30-AO30)/AP30,IF($Q30&gt;0,2+($H30-AO30-AP30)/$Q30,"Never"))))</f>
        <v>1.7495033543145</v>
      </c>
      <c r="S30" s="39">
        <f>IF($C30="","",StockWeeks/52*$N30*(1-GrossMargin))</f>
        <v>115649.0496</v>
      </c>
      <c r="U30" s="95">
        <f>IF(OR($C30="",U$21&lt;$B30),0,IF(U$21=$B30,OpenYearShare,1)*($N30*ContribMargin*IF(U$21=$B30,Ramp1,IF(U$21=$B30+1,Ramp2,1))-$P30-INDEX(LicByYear,AL30,U$21)))</f>
        <v>0</v>
      </c>
      <c r="V30" s="95">
        <f>IF(OR($C30="",V$21&lt;$B30),0,IF(V$21=$B30,OpenYearShare,1)*($N30*ContribMargin*IF(V$21=$B30,Ramp1,IF(V$21=$B30+1,Ramp2,1))-$P30-INDEX(LicByYear,AL30,V$21)))</f>
        <v>0</v>
      </c>
      <c r="W30" s="95">
        <f>IF(OR($C30="",W$21&lt;$B30),0,IF(W$21=$B30,OpenYearShare,1)*($N30*ContribMargin*IF(W$21=$B30,Ramp1,IF(W$21=$B30+1,Ramp2,1))-$P30-INDEX(LicByYear,AL30,W$21)))</f>
        <v>153367.976366026</v>
      </c>
      <c r="X30" s="95">
        <f>IF(OR($C30="",X$21&lt;$B30),0,IF(X$21=$B30,OpenYearShare,1)*($N30*ContribMargin*IF(X$21=$B30,Ramp1,IF(X$21=$B30+1,Ramp2,1))-$P30-INDEX(LicByYear,AL30,X$21)))</f>
        <v>502949.855298453</v>
      </c>
      <c r="Y30" s="95">
        <f>IF(OR($C30="",Y$21&lt;$B30),0,IF(Y$21=$B30,OpenYearShare,1)*($N30*ContribMargin*IF(Y$21=$B30,Ramp1,IF(Y$21=$B30+1,Ramp2,1))-$P30-INDEX(LicByYear,AL30,Y$21)))</f>
        <v>594015.221212053</v>
      </c>
      <c r="Z30" s="95">
        <f>IF(OR($C30="",Z$21&lt;$B30),0,IF(Z$21=$B30,OpenYearShare,1)*($N30*ContribMargin*IF(Z$21=$B30,Ramp1,IF(Z$21=$B30+1,Ramp2,1))-$P30-INDEX(LicByYear,AL30,Z$21)))</f>
        <v>594015.221212053</v>
      </c>
      <c r="AA30" s="95">
        <f>IF(OR($C30="",AA$21&lt;$B30),0,IF(AA$21=$B30,OpenYearShare,1)*($N30*ContribMargin*IF(AA$21=$B30,Ramp1,IF(AA$21=$B30+1,Ramp2,1))-$P30-INDEX(LicByYear,AL30,AA$21)))</f>
        <v>594015.221212053</v>
      </c>
      <c r="AB30" s="95">
        <f>IF(OR($C30="",AB$21&lt;$B30),0,IF(AB$21=$B30,OpenYearShare,1)*($N30*ContribMargin*IF(AB$21=$B30,Ramp1,IF(AB$21=$B30+1,Ramp2,1))-$P30-INDEX(LicByYear,AL30,AB$21)))</f>
        <v>594015.221212053</v>
      </c>
      <c r="AC30" s="95">
        <f>IF(OR($C30="",AC$21&lt;$B30),0,IF(AC$21=$B30,OpenYearShare,1)*($N30*ContribMargin*IF(AC$21=$B30,Ramp1,IF(AC$21=$B30+1,Ramp2,1))-$P30-INDEX(LicByYear,AL30,AC$21)))</f>
        <v>594015.221212053</v>
      </c>
      <c r="AD30" s="95">
        <f>IF(OR($C30="",AD$21&lt;$B30),0,IF(AD$21=$B30,OpenYearShare,1)*($N30*ContribMargin*IF(AD$21=$B30,Ramp1,IF(AD$21=$B30+1,Ramp2,1))-$P30-INDEX(LicByYear,AL30,AD$21)))</f>
        <v>594015.221212053</v>
      </c>
      <c r="AF30" s="82">
        <f>AF29+IF($C30="SPLUS",1,0)</f>
        <v>2</v>
      </c>
      <c r="AG30" s="82">
        <f>AG29+IF($C30="S",1,0)</f>
        <v>5</v>
      </c>
      <c r="AH30" s="82">
        <f>AH29+IF($C30="D",1,0)</f>
        <v>2</v>
      </c>
      <c r="AI30" s="105">
        <f>IF(OR($A30&gt;PlanStores,AF29&gt;=INDEX(Target,1)),-1000000000,INDEX(Target,1)*$A30-AF29*PlanStores)</f>
        <v>3</v>
      </c>
      <c r="AJ30" s="105">
        <f>IF(OR($A30&gt;PlanStores,AG29&gt;=INDEX(Target,2)),-1000000000,INDEX(Target,2)*$A30-AG29*PlanStores)</f>
        <v>15</v>
      </c>
      <c r="AK30" s="105">
        <f>IF(OR($A30&gt;PlanStores,AH29&gt;=INDEX(Target,3)),-1000000000,INDEX(Target,3)*$A30-AH29*PlanStores)</f>
        <v>12</v>
      </c>
      <c r="AL30" s="82">
        <f>IF($C30="","",MATCH($C30,TierCodes,0))</f>
        <v>2</v>
      </c>
      <c r="AM30" s="82">
        <f>IF($C30="","",IF(OR(StreetChoice="Typical street for its size",INDEX(Cand,AL30)=0),"",MOD($D30-1,INDEX(Cand,AL30))+1))</f>
        <v>5</v>
      </c>
      <c r="AN30" s="82">
        <f>IF(AM30="","",MATCH($C30&amp;"|"&amp;AM30,Melbourne!$AA$58:$AA$135,0))</f>
        <v>10</v>
      </c>
      <c r="AO30" s="76">
        <f>IF($C30="","",Ramp1*$N30*ContribMargin-$P30-INDEX(LicPlan,AL30))</f>
        <v>309435.952732053</v>
      </c>
      <c r="AP30" s="76">
        <f>IF($C30="","",Ramp2*$N30*ContribMargin-$P30-INDEX(LicPlan,AL30))</f>
        <v>502949.855298453</v>
      </c>
      <c r="AR30" s="61">
        <f>IF($C30="","",MAX(Scale!$C$7,($D30+Scale!$C$8*($A30-$D30))^LOG(Scale!$C$6,2)))</f>
        <v>0.875823018152148</v>
      </c>
      <c r="AS30" s="61">
        <f>IF($C30="","",1-IF(IF(Deal="Commit to the full plan",PlanStores,$A30)&gt;=PBAt4,Scale!$C$12,IF(IF(Deal="Commit to the full plan",PlanStores,$A30)&gt;=PBAt3,Scale!$C$11,IF(IF(Deal="Commit to the full plan",PlanStores,$A30)&gt;=PBAt2,Scale!$C$10,IF(IF(Deal="Commit to the full plan",PlanStores,$A30)&gt;=PBAt1,Scale!$C$9,0)))))</f>
        <v>0.96</v>
      </c>
      <c r="AT30" s="61">
        <f>IF($C30="","",MAX(Scale!$D$7,($D30+Scale!$D$8*($A30-$D30))^LOG(Scale!$D$6,2)))</f>
        <v>0.743947833982242</v>
      </c>
      <c r="AU30" s="61">
        <f>IF($C30="","",1-IF(IF(Deal="Commit to the full plan",PlanStores,$A30)&gt;=PBAt4,Scale!$D$12,IF(IF(Deal="Commit to the full plan",PlanStores,$A30)&gt;=PBAt3,Scale!$D$11,IF(IF(Deal="Commit to the full plan",PlanStores,$A30)&gt;=PBAt2,Scale!$D$10,IF(IF(Deal="Commit to the full plan",PlanStores,$A30)&gt;=PBAt1,Scale!$D$9,0)))))</f>
        <v>0.93</v>
      </c>
      <c r="AV30" s="61">
        <f>IF($C30="","",MAX(Scale!$E$7,($D30+Scale!$E$8*($A30-$D30))^LOG(Scale!$E$6,2)))</f>
        <v>0.614125</v>
      </c>
      <c r="AW30" s="61">
        <f>IF($C30="","",1-IF(IF(Deal="Commit to the full plan",PlanStores,$A30)&gt;=PBAt4,Scale!$E$12,IF(IF(Deal="Commit to the full plan",PlanStores,$A30)&gt;=PBAt3,Scale!$E$11,IF(IF(Deal="Commit to the full plan",PlanStores,$A30)&gt;=PBAt2,Scale!$E$10,IF(IF(Deal="Commit to the full plan",PlanStores,$A30)&gt;=PBAt1,Scale!$E$9,0)))))</f>
        <v>0.91</v>
      </c>
    </row>
    <row r="31">
      <c r="A31" s="110" t="n">
        <v>10</v>
      </c>
      <c r="B31" s="111">
        <f>IF($A31&gt;PlanStores,"",1+COUNTIF(CumOpenings,"&lt;"&amp;$A31))</f>
        <v>3</v>
      </c>
      <c r="C31" s="14" t="str">
        <f>IF($A31&gt;PlanStores,"",IF(AND($A31=1,FlagshipFirst="Yes",INDEX(Target,1)&gt;0),"SPLUS",IF(AND(AI31&gt;=AJ31,AI31&gt;=AK31),"SPLUS",IF(AJ31&gt;=AK31,"S","D"))))</f>
        <v>D</v>
      </c>
      <c r="D31" s="111">
        <f>IF($C31="","",IF($C31="SPLUS",AF31,IF($C31="S",AG31,AH31)))</f>
        <v>3</v>
      </c>
      <c r="E31" s="112">
        <f>IF($C31="","",$D31+LearnShared*($A31-$D31))</f>
        <v>6.5</v>
      </c>
      <c r="F31" s="85">
        <f>IF($C31="","",MAX(LearnFloor,$E31^LOG(LearnRate,2)))</f>
        <v>0.752375517564946</v>
      </c>
      <c r="G31" s="85">
        <f>IF($C31="","",1-IF(IF(Deal="Commit to the full plan",PlanStores,$A31)&gt;=PBAt4,PBDisc4,IF(IF(Deal="Commit to the full plan",PlanStores,$A31)&gt;=PBAt3,PBDisc3,IF(IF(Deal="Commit to the full plan",PlanStores,$A31)&gt;=PBAt2,PBDisc2,IF(IF(Deal="Commit to the full plan",PlanStores,$A31)&gt;=PBAt1,PBDisc1,0)))))</f>
        <v>0.93</v>
      </c>
      <c r="H31" s="39">
        <f>IF($C31="","",INDEX(BaseL,AL31)*$F31+INDEX(BaseV,AL31)*$G31+INDEX(BaseN,AL31))</f>
        <v>390784.62798475</v>
      </c>
      <c r="I31" s="39">
        <f>IF($C31="","",$H31*(1+BuildInflation)^($B31-1))</f>
        <v>414583.411829022</v>
      </c>
      <c r="J31" s="40" t="str">
        <f>IF($C31="","",IF(AN31="",IF(INDEX(Cand,AL31)=0,"No street of this size","Typical "&amp;LOWER(INDEX(TierNames,AL31))&amp;" street"),INDEX(Melbourne!$B$58:$B$135,AN31)))</f>
        <v>Lonsdale St-Spring St (West)</v>
      </c>
      <c r="K31" s="40" t="str">
        <f>IF(OR($C31="",AN31=""),"",INDEX(Melbourne!$C$58:$C$135,AN31))</f>
        <v>Office / Weekday Core</v>
      </c>
      <c r="L31" s="46">
        <f>IF($C31="","",IF(AN31="",INDEX(TypicalF,AL31),INDEX(Melbourne!$E$58:$E$135,AN31)))</f>
        <v>1983547</v>
      </c>
      <c r="M31" s="86">
        <f>IF($C31="","",IF(AN31="",INDEX(TypicalQ,AL31),INDEX(Melbourne!$N$58:$N$135,AN31)))</f>
        <v>0.7</v>
      </c>
      <c r="N31" s="39">
        <f>IF($C31="","",MIN($L31*Capture*$M31*Conversion*Ticket,INDEX(CapacityPsf,AL31)*INDEX(Area,AL31)))</f>
        <v>666471.792</v>
      </c>
      <c r="O31" s="39">
        <f>IF($C31="","",INDEX(Area,AL31)*RentPsf*($L31/Fref)^RentElasticity)</f>
        <v>60862.4218477079</v>
      </c>
      <c r="P31" s="39">
        <f>IF($C31="","",$O31+INDEX(RunOther,AL31))</f>
        <v>261820.851181041</v>
      </c>
      <c r="Q31" s="95">
        <f>IF($C31="","",$N31*ContribMargin-$P31-INDEX(LicPlan,AL31))</f>
        <v>86279.1985789588</v>
      </c>
      <c r="R31" s="113">
        <f>IF($C31="","",IF(AND(AO31&gt;=$H31,AO31&gt;0),$H31/AO31,IF(AND(AO31+AP31&gt;=$H31,AP31&gt;0),1+($H31-AO31)/AP31,IF($Q31&gt;0,2+($H31-AO31-AP31)/$Q31,"Never"))))</f>
        <v>5.88033445791973</v>
      </c>
      <c r="S31" s="39">
        <f>IF($C31="","",StockWeeks/52*$N31*(1-GrossMargin))</f>
        <v>35886.9426461538</v>
      </c>
      <c r="U31" s="95">
        <f>IF(OR($C31="",U$21&lt;$B31),0,IF(U$21=$B31,OpenYearShare,1)*($N31*ContribMargin*IF(U$21=$B31,Ramp1,IF(U$21=$B31+1,Ramp2,1))-$P31-INDEX(LicByYear,AL31,U$21)))</f>
        <v>0</v>
      </c>
      <c r="V31" s="95">
        <f>IF(OR($C31="",V$21&lt;$B31),0,IF(V$21=$B31,OpenYearShare,1)*($N31*ContribMargin*IF(V$21=$B31,Ramp1,IF(V$21=$B31+1,Ramp2,1))-$P31-INDEX(LicByYear,AL31,V$21)))</f>
        <v>0</v>
      </c>
      <c r="W31" s="95">
        <f>IF(OR($C31="",W$21&lt;$B31),0,IF(W$21=$B31,OpenYearShare,1)*($N31*ContribMargin*IF(W$21=$B31,Ramp1,IF(W$21=$B31+1,Ramp2,1))-$P31-INDEX(LicByYear,AL31,W$21)))</f>
        <v>-1824.15693052062</v>
      </c>
      <c r="X31" s="95">
        <f>IF(OR($C31="",X$21&lt;$B31),0,IF(X$21=$B31,OpenYearShare,1)*($N31*ContribMargin*IF(X$21=$B31,Ramp1,IF(X$21=$B31+1,Ramp2,1))-$P31-INDEX(LicByYear,AL31,X$21)))</f>
        <v>58020.7945981588</v>
      </c>
      <c r="Y31" s="95">
        <f>IF(OR($C31="",Y$21&lt;$B31),0,IF(Y$21=$B31,OpenYearShare,1)*($N31*ContribMargin*IF(Y$21=$B31,Ramp1,IF(Y$21=$B31+1,Ramp2,1))-$P31-INDEX(LicByYear,AL31,Y$21)))</f>
        <v>86279.1985789588</v>
      </c>
      <c r="Z31" s="95">
        <f>IF(OR($C31="",Z$21&lt;$B31),0,IF(Z$21=$B31,OpenYearShare,1)*($N31*ContribMargin*IF(Z$21=$B31,Ramp1,IF(Z$21=$B31+1,Ramp2,1))-$P31-INDEX(LicByYear,AL31,Z$21)))</f>
        <v>86279.1985789588</v>
      </c>
      <c r="AA31" s="95">
        <f>IF(OR($C31="",AA$21&lt;$B31),0,IF(AA$21=$B31,OpenYearShare,1)*($N31*ContribMargin*IF(AA$21=$B31,Ramp1,IF(AA$21=$B31+1,Ramp2,1))-$P31-INDEX(LicByYear,AL31,AA$21)))</f>
        <v>86279.1985789588</v>
      </c>
      <c r="AB31" s="95">
        <f>IF(OR($C31="",AB$21&lt;$B31),0,IF(AB$21=$B31,OpenYearShare,1)*($N31*ContribMargin*IF(AB$21=$B31,Ramp1,IF(AB$21=$B31+1,Ramp2,1))-$P31-INDEX(LicByYear,AL31,AB$21)))</f>
        <v>86279.1985789588</v>
      </c>
      <c r="AC31" s="95">
        <f>IF(OR($C31="",AC$21&lt;$B31),0,IF(AC$21=$B31,OpenYearShare,1)*($N31*ContribMargin*IF(AC$21=$B31,Ramp1,IF(AC$21=$B31+1,Ramp2,1))-$P31-INDEX(LicByYear,AL31,AC$21)))</f>
        <v>86279.1985789588</v>
      </c>
      <c r="AD31" s="95">
        <f>IF(OR($C31="",AD$21&lt;$B31),0,IF(AD$21=$B31,OpenYearShare,1)*($N31*ContribMargin*IF(AD$21=$B31,Ramp1,IF(AD$21=$B31+1,Ramp2,1))-$P31-INDEX(LicByYear,AL31,AD$21)))</f>
        <v>86279.1985789588</v>
      </c>
      <c r="AF31" s="82">
        <f>AF30+IF($C31="SPLUS",1,0)</f>
        <v>2</v>
      </c>
      <c r="AG31" s="82">
        <f>AG30+IF($C31="S",1,0)</f>
        <v>5</v>
      </c>
      <c r="AH31" s="82">
        <f>AH30+IF($C31="D",1,0)</f>
        <v>3</v>
      </c>
      <c r="AI31" s="105">
        <f>IF(OR($A31&gt;PlanStores,AF30&gt;=INDEX(Target,1)),-1000000000,INDEX(Target,1)*$A31-AF30*PlanStores)</f>
        <v>10</v>
      </c>
      <c r="AJ31" s="105">
        <f>IF(OR($A31&gt;PlanStores,AG30&gt;=INDEX(Target,2)),-1000000000,INDEX(Target,2)*$A31-AG30*PlanStores)</f>
        <v>0</v>
      </c>
      <c r="AK31" s="105">
        <f>IF(OR($A31&gt;PlanStores,AH30&gt;=INDEX(Target,3)),-1000000000,INDEX(Target,3)*$A31-AH30*PlanStores)</f>
        <v>20</v>
      </c>
      <c r="AL31" s="82">
        <f>IF($C31="","",MATCH($C31,TierCodes,0))</f>
        <v>3</v>
      </c>
      <c r="AM31" s="82">
        <f>IF($C31="","",IF(OR(StreetChoice="Typical street for its size",INDEX(Cand,AL31)=0),"",MOD($D31-1,INDEX(Cand,AL31))+1))</f>
        <v>3</v>
      </c>
      <c r="AN31" s="82">
        <f>IF(AM31="","",MATCH($C31&amp;"|"&amp;AM31,Melbourne!$AA$58:$AA$135,0))</f>
        <v>50</v>
      </c>
      <c r="AO31" s="76">
        <f>IF($C31="","",Ramp1*$N31*ContribMargin-$P31-INDEX(LicPlan,AL31))</f>
        <v>-2028.31386104118</v>
      </c>
      <c r="AP31" s="76">
        <f>IF($C31="","",Ramp2*$N31*ContribMargin-$P31-INDEX(LicPlan,AL31))</f>
        <v>58020.7945981588</v>
      </c>
      <c r="AR31" s="61">
        <f>IF($C31="","",MAX(Scale!$C$7,($D31+Scale!$C$8*($A31-$D31))^LOG(Scale!$C$6,2)))</f>
        <v>0.891095559351913</v>
      </c>
      <c r="AS31" s="61">
        <f>IF($C31="","",1-IF(IF(Deal="Commit to the full plan",PlanStores,$A31)&gt;=PBAt4,Scale!$C$12,IF(IF(Deal="Commit to the full plan",PlanStores,$A31)&gt;=PBAt3,Scale!$C$11,IF(IF(Deal="Commit to the full plan",PlanStores,$A31)&gt;=PBAt2,Scale!$C$10,IF(IF(Deal="Commit to the full plan",PlanStores,$A31)&gt;=PBAt1,Scale!$C$9,0)))))</f>
        <v>0.96</v>
      </c>
      <c r="AT31" s="61">
        <f>IF($C31="","",MAX(Scale!$D$7,($D31+Scale!$D$8*($A31-$D31))^LOG(Scale!$D$6,2)))</f>
        <v>0.752375517564946</v>
      </c>
      <c r="AU31" s="61">
        <f>IF($C31="","",1-IF(IF(Deal="Commit to the full plan",PlanStores,$A31)&gt;=PBAt4,Scale!$D$12,IF(IF(Deal="Commit to the full plan",PlanStores,$A31)&gt;=PBAt3,Scale!$D$11,IF(IF(Deal="Commit to the full plan",PlanStores,$A31)&gt;=PBAt2,Scale!$D$10,IF(IF(Deal="Commit to the full plan",PlanStores,$A31)&gt;=PBAt1,Scale!$D$9,0)))))</f>
        <v>0.93</v>
      </c>
      <c r="AV31" s="61">
        <f>IF($C31="","",MAX(Scale!$E$7,($D31+Scale!$E$8*($A31-$D31))^LOG(Scale!$E$6,2)))</f>
        <v>0.609710104532639</v>
      </c>
      <c r="AW31" s="61">
        <f>IF($C31="","",1-IF(IF(Deal="Commit to the full plan",PlanStores,$A31)&gt;=PBAt4,Scale!$E$12,IF(IF(Deal="Commit to the full plan",PlanStores,$A31)&gt;=PBAt3,Scale!$E$11,IF(IF(Deal="Commit to the full plan",PlanStores,$A31)&gt;=PBAt2,Scale!$E$10,IF(IF(Deal="Commit to the full plan",PlanStores,$A31)&gt;=PBAt1,Scale!$E$9,0)))))</f>
        <v>0.91</v>
      </c>
    </row>
    <row r="32">
      <c r="A32" s="110" t="n">
        <v>11</v>
      </c>
      <c r="B32" s="111">
        <f>IF($A32&gt;PlanStores,"",1+COUNTIF(CumOpenings,"&lt;"&amp;$A32))</f>
        <v>3</v>
      </c>
      <c r="C32" s="14" t="str">
        <f>IF($A32&gt;PlanStores,"",IF(AND($A32=1,FlagshipFirst="Yes",INDEX(Target,1)&gt;0),"SPLUS",IF(AND(AI32&gt;=AJ32,AI32&gt;=AK32),"SPLUS",IF(AJ32&gt;=AK32,"S","D"))))</f>
        <v>SPLUS</v>
      </c>
      <c r="D32" s="111">
        <f>IF($C32="","",IF($C32="SPLUS",AF32,IF($C32="S",AG32,AH32)))</f>
        <v>3</v>
      </c>
      <c r="E32" s="112">
        <f>IF($C32="","",$D32+LearnShared*($A32-$D32))</f>
        <v>7</v>
      </c>
      <c r="F32" s="85">
        <f>IF($C32="","",MAX(LearnFloor,$E32^LOG(LearnRate,2)))</f>
        <v>0.743947833982242</v>
      </c>
      <c r="G32" s="85">
        <f>IF($C32="","",1-IF(IF(Deal="Commit to the full plan",PlanStores,$A32)&gt;=PBAt4,PBDisc4,IF(IF(Deal="Commit to the full plan",PlanStores,$A32)&gt;=PBAt3,PBDisc3,IF(IF(Deal="Commit to the full plan",PlanStores,$A32)&gt;=PBAt2,PBDisc2,IF(IF(Deal="Commit to the full plan",PlanStores,$A32)&gt;=PBAt1,PBDisc1,0)))))</f>
        <v>0.93</v>
      </c>
      <c r="H32" s="39">
        <f>IF($C32="","",INDEX(BaseL,AL32)*$F32+INDEX(BaseV,AL32)*$G32+INDEX(BaseN,AL32))</f>
        <v>1219388.47461944</v>
      </c>
      <c r="I32" s="39">
        <f>IF($C32="","",$H32*(1+BuildInflation)^($B32-1))</f>
        <v>1293649.23272377</v>
      </c>
      <c r="J32" s="40" t="str">
        <f>IF($C32="","",IF(AN32="",IF(INDEX(Cand,AL32)=0,"No street of this size","Typical "&amp;LOWER(INDEX(TierNames,AL32))&amp;" street"),INDEX(Melbourne!$B$58:$B$135,AN32)))</f>
        <v>QV2 Apartments, 300 Swanston Street</v>
      </c>
      <c r="K32" s="40" t="str">
        <f>IF(OR($C32="",AN32=""),"",INDEX(Melbourne!$C$58:$C$135,AN32))</f>
        <v>CBD Core / All-Day</v>
      </c>
      <c r="L32" s="46">
        <f>IF($C32="","",IF(AN32="",INDEX(TypicalF,AL32),INDEX(Melbourne!$E$58:$E$135,AN32)))</f>
        <v>10696260</v>
      </c>
      <c r="M32" s="86">
        <f>IF($C32="","",IF(AN32="",INDEX(TypicalQ,AL32),INDEX(Melbourne!$N$58:$N$135,AN32)))</f>
        <v>1</v>
      </c>
      <c r="N32" s="39">
        <f>IF($C32="","",MIN($L32*Capture*$M32*Conversion*Ticket,INDEX(CapacityPsf,AL32)*INDEX(Area,AL32)))</f>
        <v>5134204.8</v>
      </c>
      <c r="O32" s="39">
        <f>IF($C32="","",INDEX(Area,AL32)*RentPsf*($L32/Fref)^RentElasticity)</f>
        <v>580857.816586777</v>
      </c>
      <c r="P32" s="39">
        <f>IF($C32="","",$O32+INDEX(RunOther,AL32))</f>
        <v>1079151.56325344</v>
      </c>
      <c r="Q32" s="95">
        <f>IF($C32="","",$N32*ContribMargin-$P32-INDEX(LicPlan,AL32))</f>
        <v>1629151.98074656</v>
      </c>
      <c r="R32" s="113">
        <f>IF($C32="","",IF(AND(AO32&gt;=$H32,AO32&gt;0),$H32/AO32,IF(AND(AO32+AP32&gt;=$H32,AP32&gt;0),1+($H32-AO32)/AP32,IF($Q32&gt;0,2+($H32-AO32-AP32)/$Q32,"Never"))))</f>
        <v>1.19165849870701</v>
      </c>
      <c r="S32" s="39">
        <f>IF($C32="","",StockWeeks/52*$N32*(1-GrossMargin))</f>
        <v>276457.181538462</v>
      </c>
      <c r="U32" s="95">
        <f>IF(OR($C32="",U$21&lt;$B32),0,IF(U$21=$B32,OpenYearShare,1)*($N32*ContribMargin*IF(U$21=$B32,Ramp1,IF(U$21=$B32+1,Ramp2,1))-$P32-INDEX(LicByYear,AL32,U$21)))</f>
        <v>0</v>
      </c>
      <c r="V32" s="95">
        <f>IF(OR($C32="",V$21&lt;$B32),0,IF(V$21=$B32,OpenYearShare,1)*($N32*ContribMargin*IF(V$21=$B32,Ramp1,IF(V$21=$B32+1,Ramp2,1))-$P32-INDEX(LicByYear,AL32,V$21)))</f>
        <v>0</v>
      </c>
      <c r="W32" s="95">
        <f>IF(OR($C32="",W$21&lt;$B32),0,IF(W$21=$B32,OpenYearShare,1)*($N32*ContribMargin*IF(W$21=$B32,Ramp1,IF(W$21=$B32+1,Ramp2,1))-$P32-INDEX(LicByYear,AL32,W$21)))</f>
        <v>472409.922373278</v>
      </c>
      <c r="X32" s="95">
        <f>IF(OR($C32="",X$21&lt;$B32),0,IF(X$21=$B32,OpenYearShare,1)*($N32*ContribMargin*IF(X$21=$B32,Ramp1,IF(X$21=$B32+1,Ramp2,1))-$P32-INDEX(LicByYear,AL32,X$21)))</f>
        <v>1411461.69722656</v>
      </c>
      <c r="Y32" s="95">
        <f>IF(OR($C32="",Y$21&lt;$B32),0,IF(Y$21=$B32,OpenYearShare,1)*($N32*ContribMargin*IF(Y$21=$B32,Ramp1,IF(Y$21=$B32+1,Ramp2,1))-$P32-INDEX(LicByYear,AL32,Y$21)))</f>
        <v>1629151.98074656</v>
      </c>
      <c r="Z32" s="95">
        <f>IF(OR($C32="",Z$21&lt;$B32),0,IF(Z$21=$B32,OpenYearShare,1)*($N32*ContribMargin*IF(Z$21=$B32,Ramp1,IF(Z$21=$B32+1,Ramp2,1))-$P32-INDEX(LicByYear,AL32,Z$21)))</f>
        <v>1629151.98074656</v>
      </c>
      <c r="AA32" s="95">
        <f>IF(OR($C32="",AA$21&lt;$B32),0,IF(AA$21=$B32,OpenYearShare,1)*($N32*ContribMargin*IF(AA$21=$B32,Ramp1,IF(AA$21=$B32+1,Ramp2,1))-$P32-INDEX(LicByYear,AL32,AA$21)))</f>
        <v>1629151.98074656</v>
      </c>
      <c r="AB32" s="95">
        <f>IF(OR($C32="",AB$21&lt;$B32),0,IF(AB$21=$B32,OpenYearShare,1)*($N32*ContribMargin*IF(AB$21=$B32,Ramp1,IF(AB$21=$B32+1,Ramp2,1))-$P32-INDEX(LicByYear,AL32,AB$21)))</f>
        <v>1629151.98074656</v>
      </c>
      <c r="AC32" s="95">
        <f>IF(OR($C32="",AC$21&lt;$B32),0,IF(AC$21=$B32,OpenYearShare,1)*($N32*ContribMargin*IF(AC$21=$B32,Ramp1,IF(AC$21=$B32+1,Ramp2,1))-$P32-INDEX(LicByYear,AL32,AC$21)))</f>
        <v>1629151.98074656</v>
      </c>
      <c r="AD32" s="95">
        <f>IF(OR($C32="",AD$21&lt;$B32),0,IF(AD$21=$B32,OpenYearShare,1)*($N32*ContribMargin*IF(AD$21=$B32,Ramp1,IF(AD$21=$B32+1,Ramp2,1))-$P32-INDEX(LicByYear,AL32,AD$21)))</f>
        <v>1629151.98074656</v>
      </c>
      <c r="AF32" s="82">
        <f>AF31+IF($C32="SPLUS",1,0)</f>
        <v>3</v>
      </c>
      <c r="AG32" s="82">
        <f>AG31+IF($C32="S",1,0)</f>
        <v>5</v>
      </c>
      <c r="AH32" s="82">
        <f>AH31+IF($C32="D",1,0)</f>
        <v>3</v>
      </c>
      <c r="AI32" s="105">
        <f>IF(OR($A32&gt;PlanStores,AF31&gt;=INDEX(Target,1)),-1000000000,INDEX(Target,1)*$A32-AF31*PlanStores)</f>
        <v>17</v>
      </c>
      <c r="AJ32" s="105">
        <f>IF(OR($A32&gt;PlanStores,AG31&gt;=INDEX(Target,2)),-1000000000,INDEX(Target,2)*$A32-AG31*PlanStores)</f>
        <v>15</v>
      </c>
      <c r="AK32" s="105">
        <f>IF(OR($A32&gt;PlanStores,AH31&gt;=INDEX(Target,3)),-1000000000,INDEX(Target,3)*$A32-AH31*PlanStores)</f>
        <v>-2</v>
      </c>
      <c r="AL32" s="82">
        <f>IF($C32="","",MATCH($C32,TierCodes,0))</f>
        <v>1</v>
      </c>
      <c r="AM32" s="82">
        <f>IF($C32="","",IF(OR(StreetChoice="Typical street for its size",INDEX(Cand,AL32)=0),"",MOD($D32-1,INDEX(Cand,AL32))+1))</f>
        <v>3</v>
      </c>
      <c r="AN32" s="82">
        <f>IF(AM32="","",MATCH($C32&amp;"|"&amp;AM32,Melbourne!$AA$58:$AA$135,0))</f>
        <v>4</v>
      </c>
      <c r="AO32" s="76">
        <f>IF($C32="","",Ramp1*$N32*ContribMargin-$P32-INDEX(LicPlan,AL32))</f>
        <v>948869.844746556</v>
      </c>
      <c r="AP32" s="76">
        <f>IF($C32="","",Ramp2*$N32*ContribMargin-$P32-INDEX(LicPlan,AL32))</f>
        <v>1411461.69722656</v>
      </c>
      <c r="AR32" s="61">
        <f>IF($C32="","",MAX(Scale!$C$7,($D32+Scale!$C$8*($A32-$D32))^LOG(Scale!$C$6,2)))</f>
        <v>0.887719609145694</v>
      </c>
      <c r="AS32" s="61">
        <f>IF($C32="","",1-IF(IF(Deal="Commit to the full plan",PlanStores,$A32)&gt;=PBAt4,Scale!$C$12,IF(IF(Deal="Commit to the full plan",PlanStores,$A32)&gt;=PBAt3,Scale!$C$11,IF(IF(Deal="Commit to the full plan",PlanStores,$A32)&gt;=PBAt2,Scale!$C$10,IF(IF(Deal="Commit to the full plan",PlanStores,$A32)&gt;=PBAt1,Scale!$C$9,0)))))</f>
        <v>0.96</v>
      </c>
      <c r="AT32" s="61">
        <f>IF($C32="","",MAX(Scale!$D$7,($D32+Scale!$D$8*($A32-$D32))^LOG(Scale!$D$6,2)))</f>
        <v>0.743947833982242</v>
      </c>
      <c r="AU32" s="61">
        <f>IF($C32="","",1-IF(IF(Deal="Commit to the full plan",PlanStores,$A32)&gt;=PBAt4,Scale!$D$12,IF(IF(Deal="Commit to the full plan",PlanStores,$A32)&gt;=PBAt3,Scale!$D$11,IF(IF(Deal="Commit to the full plan",PlanStores,$A32)&gt;=PBAt2,Scale!$D$10,IF(IF(Deal="Commit to the full plan",PlanStores,$A32)&gt;=PBAt1,Scale!$D$9,0)))))</f>
        <v>0.93</v>
      </c>
      <c r="AV32" s="61">
        <f>IF($C32="","",MAX(Scale!$E$7,($D32+Scale!$E$8*($A32-$D32))^LOG(Scale!$E$6,2)))</f>
        <v>0.6</v>
      </c>
      <c r="AW32" s="61">
        <f>IF($C32="","",1-IF(IF(Deal="Commit to the full plan",PlanStores,$A32)&gt;=PBAt4,Scale!$E$12,IF(IF(Deal="Commit to the full plan",PlanStores,$A32)&gt;=PBAt3,Scale!$E$11,IF(IF(Deal="Commit to the full plan",PlanStores,$A32)&gt;=PBAt2,Scale!$E$10,IF(IF(Deal="Commit to the full plan",PlanStores,$A32)&gt;=PBAt1,Scale!$E$9,0)))))</f>
        <v>0.91</v>
      </c>
    </row>
    <row r="33">
      <c r="A33" s="110" t="n">
        <v>12</v>
      </c>
      <c r="B33" s="111">
        <f>IF($A33&gt;PlanStores,"",1+COUNTIF(CumOpenings,"&lt;"&amp;$A33))</f>
        <v>3</v>
      </c>
      <c r="C33" s="14" t="str">
        <f>IF($A33&gt;PlanStores,"",IF(AND($A33=1,FlagshipFirst="Yes",INDEX(Target,1)&gt;0),"SPLUS",IF(AND(AI33&gt;=AJ33,AI33&gt;=AK33),"SPLUS",IF(AJ33&gt;=AK33,"S","D"))))</f>
        <v>S</v>
      </c>
      <c r="D33" s="111">
        <f>IF($C33="","",IF($C33="SPLUS",AF33,IF($C33="S",AG33,AH33)))</f>
        <v>6</v>
      </c>
      <c r="E33" s="112">
        <f>IF($C33="","",$D33+LearnShared*($A33-$D33))</f>
        <v>9</v>
      </c>
      <c r="F33" s="85">
        <f>IF($C33="","",MAX(LearnFloor,$E33^LOG(LearnRate,2)))</f>
        <v>0.716064571270843</v>
      </c>
      <c r="G33" s="85">
        <f>IF($C33="","",1-IF(IF(Deal="Commit to the full plan",PlanStores,$A33)&gt;=PBAt4,PBDisc4,IF(IF(Deal="Commit to the full plan",PlanStores,$A33)&gt;=PBAt3,PBDisc3,IF(IF(Deal="Commit to the full plan",PlanStores,$A33)&gt;=PBAt2,PBDisc2,IF(IF(Deal="Commit to the full plan",PlanStores,$A33)&gt;=PBAt1,PBDisc1,0)))))</f>
        <v>0.93</v>
      </c>
      <c r="H33" s="39">
        <f>IF($C33="","",INDEX(BaseL,AL33)*$F33+INDEX(BaseV,AL33)*$G33+INDEX(BaseN,AL33))</f>
        <v>676326.42475731</v>
      </c>
      <c r="I33" s="39">
        <f>IF($C33="","",$H33*(1+BuildInflation)^($B33-1))</f>
        <v>717514.704025031</v>
      </c>
      <c r="J33" s="40" t="str">
        <f>IF($C33="","",IF(AN33="",IF(INDEX(Cand,AL33)=0,"No street of this size","Typical "&amp;LOWER(INDEX(TierNames,AL33))&amp;" street"),INDEX(Melbourne!$B$58:$B$135,AN33)))</f>
        <v>Building 80 RMIT</v>
      </c>
      <c r="K33" s="40" t="str">
        <f>IF(OR($C33="",AN33=""),"",INDEX(Melbourne!$C$58:$C$135,AN33))</f>
        <v>Office / Weekday Core</v>
      </c>
      <c r="L33" s="46">
        <f>IF($C33="","",IF(AN33="",INDEX(TypicalF,AL33),INDEX(Melbourne!$E$58:$E$135,AN33)))</f>
        <v>6477460</v>
      </c>
      <c r="M33" s="86">
        <f>IF($C33="","",IF(AN33="",INDEX(TypicalQ,AL33),INDEX(Melbourne!$N$58:$N$135,AN33)))</f>
        <v>0.7</v>
      </c>
      <c r="N33" s="39">
        <f>IF($C33="","",MIN($L33*Capture*$M33*Conversion*Ticket,INDEX(CapacityPsf,AL33)*INDEX(Area,AL33)))</f>
        <v>2176426.56</v>
      </c>
      <c r="O33" s="39">
        <f>IF($C33="","",INDEX(Area,AL33)*RentPsf*($L33/Fref)^RentElasticity)</f>
        <v>213929.117200219</v>
      </c>
      <c r="P33" s="39">
        <f>IF($C33="","",$O33+INDEX(RunOther,AL33))</f>
        <v>518514.690533553</v>
      </c>
      <c r="Q33" s="95">
        <f>IF($C33="","",$N33*ContribMargin-$P33-INDEX(LicPlan,AL33))</f>
        <v>626441.386266447</v>
      </c>
      <c r="R33" s="113">
        <f>IF($C33="","",IF(AND(AO33&gt;=$H33,AO33&gt;0),$H33/AO33,IF(AND(AO33+AP33&gt;=$H33,AP33&gt;0),1+($H33-AO33)/AP33,IF($Q33&gt;0,2+($H33-AO33-AP33)/$Q33,"Never"))))</f>
        <v>1.63325780230886</v>
      </c>
      <c r="S33" s="39">
        <f>IF($C33="","",StockWeeks/52*$N33*(1-GrossMargin))</f>
        <v>117192.199384615</v>
      </c>
      <c r="U33" s="95">
        <f>IF(OR($C33="",U$21&lt;$B33),0,IF(U$21=$B33,OpenYearShare,1)*($N33*ContribMargin*IF(U$21=$B33,Ramp1,IF(U$21=$B33+1,Ramp2,1))-$P33-INDEX(LicByYear,AL33,U$21)))</f>
        <v>0</v>
      </c>
      <c r="V33" s="95">
        <f>IF(OR($C33="",V$21&lt;$B33),0,IF(V$21=$B33,OpenYearShare,1)*($N33*ContribMargin*IF(V$21=$B33,Ramp1,IF(V$21=$B33+1,Ramp2,1))-$P33-INDEX(LicByYear,AL33,V$21)))</f>
        <v>0</v>
      </c>
      <c r="W33" s="95">
        <f>IF(OR($C33="",W$21&lt;$B33),0,IF(W$21=$B33,OpenYearShare,1)*($N33*ContribMargin*IF(W$21=$B33,Ramp1,IF(W$21=$B33+1,Ramp2,1))-$P33-INDEX(LicByYear,AL33,W$21)))</f>
        <v>167682.433533224</v>
      </c>
      <c r="X33" s="95">
        <f>IF(OR($C33="",X$21&lt;$B33),0,IF(X$21=$B33,OpenYearShare,1)*($N33*ContribMargin*IF(X$21=$B33,Ramp1,IF(X$21=$B33+1,Ramp2,1))-$P33-INDEX(LicByYear,AL33,X$21)))</f>
        <v>534160.900122447</v>
      </c>
      <c r="Y33" s="95">
        <f>IF(OR($C33="",Y$21&lt;$B33),0,IF(Y$21=$B33,OpenYearShare,1)*($N33*ContribMargin*IF(Y$21=$B33,Ramp1,IF(Y$21=$B33+1,Ramp2,1))-$P33-INDEX(LicByYear,AL33,Y$21)))</f>
        <v>626441.386266447</v>
      </c>
      <c r="Z33" s="95">
        <f>IF(OR($C33="",Z$21&lt;$B33),0,IF(Z$21=$B33,OpenYearShare,1)*($N33*ContribMargin*IF(Z$21=$B33,Ramp1,IF(Z$21=$B33+1,Ramp2,1))-$P33-INDEX(LicByYear,AL33,Z$21)))</f>
        <v>626441.386266447</v>
      </c>
      <c r="AA33" s="95">
        <f>IF(OR($C33="",AA$21&lt;$B33),0,IF(AA$21=$B33,OpenYearShare,1)*($N33*ContribMargin*IF(AA$21=$B33,Ramp1,IF(AA$21=$B33+1,Ramp2,1))-$P33-INDEX(LicByYear,AL33,AA$21)))</f>
        <v>626441.386266447</v>
      </c>
      <c r="AB33" s="95">
        <f>IF(OR($C33="",AB$21&lt;$B33),0,IF(AB$21=$B33,OpenYearShare,1)*($N33*ContribMargin*IF(AB$21=$B33,Ramp1,IF(AB$21=$B33+1,Ramp2,1))-$P33-INDEX(LicByYear,AL33,AB$21)))</f>
        <v>626441.386266447</v>
      </c>
      <c r="AC33" s="95">
        <f>IF(OR($C33="",AC$21&lt;$B33),0,IF(AC$21=$B33,OpenYearShare,1)*($N33*ContribMargin*IF(AC$21=$B33,Ramp1,IF(AC$21=$B33+1,Ramp2,1))-$P33-INDEX(LicByYear,AL33,AC$21)))</f>
        <v>626441.386266447</v>
      </c>
      <c r="AD33" s="95">
        <f>IF(OR($C33="",AD$21&lt;$B33),0,IF(AD$21=$B33,OpenYearShare,1)*($N33*ContribMargin*IF(AD$21=$B33,Ramp1,IF(AD$21=$B33+1,Ramp2,1))-$P33-INDEX(LicByYear,AL33,AD$21)))</f>
        <v>626441.386266447</v>
      </c>
      <c r="AF33" s="82">
        <f>AF32+IF($C33="SPLUS",1,0)</f>
        <v>3</v>
      </c>
      <c r="AG33" s="82">
        <f>AG32+IF($C33="S",1,0)</f>
        <v>6</v>
      </c>
      <c r="AH33" s="82">
        <f>AH32+IF($C33="D",1,0)</f>
        <v>3</v>
      </c>
      <c r="AI33" s="105">
        <f>IF(OR($A33&gt;PlanStores,AF32&gt;=INDEX(Target,1)),-1000000000,INDEX(Target,1)*$A33-AF32*PlanStores)</f>
        <v>-6</v>
      </c>
      <c r="AJ33" s="105">
        <f>IF(OR($A33&gt;PlanStores,AG32&gt;=INDEX(Target,2)),-1000000000,INDEX(Target,2)*$A33-AG32*PlanStores)</f>
        <v>30</v>
      </c>
      <c r="AK33" s="105">
        <f>IF(OR($A33&gt;PlanStores,AH32&gt;=INDEX(Target,3)),-1000000000,INDEX(Target,3)*$A33-AH32*PlanStores)</f>
        <v>6</v>
      </c>
      <c r="AL33" s="82">
        <f>IF($C33="","",MATCH($C33,TierCodes,0))</f>
        <v>2</v>
      </c>
      <c r="AM33" s="82">
        <f>IF($C33="","",IF(OR(StreetChoice="Typical street for its size",INDEX(Cand,AL33)=0),"",MOD($D33-1,INDEX(Cand,AL33))+1))</f>
        <v>6</v>
      </c>
      <c r="AN33" s="82">
        <f>IF(AM33="","",MATCH($C33&amp;"|"&amp;AM33,Melbourne!$AA$58:$AA$135,0))</f>
        <v>12</v>
      </c>
      <c r="AO33" s="76">
        <f>IF($C33="","",Ramp1*$N33*ContribMargin-$P33-INDEX(LicPlan,AL33))</f>
        <v>338064.867066447</v>
      </c>
      <c r="AP33" s="76">
        <f>IF($C33="","",Ramp2*$N33*ContribMargin-$P33-INDEX(LicPlan,AL33))</f>
        <v>534160.900122447</v>
      </c>
      <c r="AR33" s="61">
        <f>IF($C33="","",MAX(Scale!$C$7,($D33+Scale!$C$8*($A33-$D33))^LOG(Scale!$C$6,2)))</f>
        <v>0.861479520614766</v>
      </c>
      <c r="AS33" s="61">
        <f>IF($C33="","",1-IF(IF(Deal="Commit to the full plan",PlanStores,$A33)&gt;=PBAt4,Scale!$C$12,IF(IF(Deal="Commit to the full plan",PlanStores,$A33)&gt;=PBAt3,Scale!$C$11,IF(IF(Deal="Commit to the full plan",PlanStores,$A33)&gt;=PBAt2,Scale!$C$10,IF(IF(Deal="Commit to the full plan",PlanStores,$A33)&gt;=PBAt1,Scale!$C$9,0)))))</f>
        <v>0.96</v>
      </c>
      <c r="AT33" s="61">
        <f>IF($C33="","",MAX(Scale!$D$7,($D33+Scale!$D$8*($A33-$D33))^LOG(Scale!$D$6,2)))</f>
        <v>0.716064571270843</v>
      </c>
      <c r="AU33" s="61">
        <f>IF($C33="","",1-IF(IF(Deal="Commit to the full plan",PlanStores,$A33)&gt;=PBAt4,Scale!$D$12,IF(IF(Deal="Commit to the full plan",PlanStores,$A33)&gt;=PBAt3,Scale!$D$11,IF(IF(Deal="Commit to the full plan",PlanStores,$A33)&gt;=PBAt2,Scale!$D$10,IF(IF(Deal="Commit to the full plan",PlanStores,$A33)&gt;=PBAt1,Scale!$D$9,0)))))</f>
        <v>0.93</v>
      </c>
      <c r="AV33" s="61">
        <f>IF($C33="","",MAX(Scale!$E$7,($D33+Scale!$E$8*($A33-$D33))^LOG(Scale!$E$6,2)))</f>
        <v>0.6</v>
      </c>
      <c r="AW33" s="61">
        <f>IF($C33="","",1-IF(IF(Deal="Commit to the full plan",PlanStores,$A33)&gt;=PBAt4,Scale!$E$12,IF(IF(Deal="Commit to the full plan",PlanStores,$A33)&gt;=PBAt3,Scale!$E$11,IF(IF(Deal="Commit to the full plan",PlanStores,$A33)&gt;=PBAt2,Scale!$E$10,IF(IF(Deal="Commit to the full plan",PlanStores,$A33)&gt;=PBAt1,Scale!$E$9,0)))))</f>
        <v>0.91</v>
      </c>
    </row>
    <row r="34">
      <c r="A34" s="110" t="n">
        <v>13</v>
      </c>
      <c r="B34" s="111">
        <f>IF($A34&gt;PlanStores,"",1+COUNTIF(CumOpenings,"&lt;"&amp;$A34))</f>
        <v>4</v>
      </c>
      <c r="C34" s="14" t="str">
        <f>IF($A34&gt;PlanStores,"",IF(AND($A34=1,FlagshipFirst="Yes",INDEX(Target,1)&gt;0),"SPLUS",IF(AND(AI34&gt;=AJ34,AI34&gt;=AK34),"SPLUS",IF(AJ34&gt;=AK34,"S","D"))))</f>
        <v>S</v>
      </c>
      <c r="D34" s="111">
        <f>IF($C34="","",IF($C34="SPLUS",AF34,IF($C34="S",AG34,AH34)))</f>
        <v>7</v>
      </c>
      <c r="E34" s="112">
        <f>IF($C34="","",$D34+LearnShared*($A34-$D34))</f>
        <v>10</v>
      </c>
      <c r="F34" s="85">
        <f>IF($C34="","",MAX(LearnFloor,$E34^LOG(LearnRate,2)))</f>
        <v>0.704688049512346</v>
      </c>
      <c r="G34" s="85">
        <f>IF($C34="","",1-IF(IF(Deal="Commit to the full plan",PlanStores,$A34)&gt;=PBAt4,PBDisc4,IF(IF(Deal="Commit to the full plan",PlanStores,$A34)&gt;=PBAt3,PBDisc3,IF(IF(Deal="Commit to the full plan",PlanStores,$A34)&gt;=PBAt2,PBDisc2,IF(IF(Deal="Commit to the full plan",PlanStores,$A34)&gt;=PBAt1,PBDisc1,0)))))</f>
        <v>0.93</v>
      </c>
      <c r="H34" s="39">
        <f>IF($C34="","",INDEX(BaseL,AL34)*$F34+INDEX(BaseV,AL34)*$G34+INDEX(BaseN,AL34))</f>
        <v>672216.940685097</v>
      </c>
      <c r="I34" s="39">
        <f>IF($C34="","",$H34*(1+BuildInflation)^($B34-1))</f>
        <v>734549.600944004</v>
      </c>
      <c r="J34" s="40" t="str">
        <f>IF($C34="","",IF(AN34="",IF(INDEX(Cand,AL34)=0,"No street of this size","Typical "&amp;LOWER(INDEX(TierNames,AL34))&amp;" street"),INDEX(Melbourne!$B$58:$B$135,AN34)))</f>
        <v>The Arts Centre</v>
      </c>
      <c r="K34" s="40" t="str">
        <f>IF(OR($C34="",AN34=""),"",INDEX(Melbourne!$C$58:$C$135,AN34))</f>
        <v>Transit Spine</v>
      </c>
      <c r="L34" s="46">
        <f>IF($C34="","",IF(AN34="",INDEX(TypicalF,AL34),INDEX(Melbourne!$E$58:$E$135,AN34)))</f>
        <v>6301658</v>
      </c>
      <c r="M34" s="86">
        <f>IF($C34="","",IF(AN34="",INDEX(TypicalQ,AL34),INDEX(Melbourne!$N$58:$N$135,AN34)))</f>
        <v>0.6</v>
      </c>
      <c r="N34" s="39">
        <f>IF($C34="","",MIN($L34*Capture*$M34*Conversion*Ticket,INDEX(CapacityPsf,AL34)*INDEX(Area,AL34)))</f>
        <v>1814877.504</v>
      </c>
      <c r="O34" s="39">
        <f>IF($C34="","",INDEX(Area,AL34)*RentPsf*($L34/Fref)^RentElasticity)</f>
        <v>210715.968430189</v>
      </c>
      <c r="P34" s="39">
        <f>IF($C34="","",$O34+INDEX(RunOther,AL34))</f>
        <v>515301.541763522</v>
      </c>
      <c r="Q34" s="95">
        <f>IF($C34="","",$N34*ContribMargin-$P34-INDEX(LicPlan,AL34))</f>
        <v>438033.535356478</v>
      </c>
      <c r="R34" s="113">
        <f>IF($C34="","",IF(AND(AO34&gt;=$H34,AO34&gt;0),$H34/AO34,IF(AND(AO34+AP34&gt;=$H34,AP34&gt;0),1+($H34-AO34)/AP34,IF($Q34&gt;0,2+($H34-AO34-AP34)/$Q34,"Never"))))</f>
        <v>2.25927682758197</v>
      </c>
      <c r="S34" s="39">
        <f>IF($C34="","",StockWeeks/52*$N34*(1-GrossMargin))</f>
        <v>97724.1732923077</v>
      </c>
      <c r="U34" s="95">
        <f>IF(OR($C34="",U$21&lt;$B34),0,IF(U$21=$B34,OpenYearShare,1)*($N34*ContribMargin*IF(U$21=$B34,Ramp1,IF(U$21=$B34+1,Ramp2,1))-$P34-INDEX(LicByYear,AL34,U$21)))</f>
        <v>0</v>
      </c>
      <c r="V34" s="95">
        <f>IF(OR($C34="",V$21&lt;$B34),0,IF(V$21=$B34,OpenYearShare,1)*($N34*ContribMargin*IF(V$21=$B34,Ramp1,IF(V$21=$B34+1,Ramp2,1))-$P34-INDEX(LicByYear,AL34,V$21)))</f>
        <v>0</v>
      </c>
      <c r="W34" s="95">
        <f>IF(OR($C34="",W$21&lt;$B34),0,IF(W$21=$B34,OpenYearShare,1)*($N34*ContribMargin*IF(W$21=$B34,Ramp1,IF(W$21=$B34+1,Ramp2,1))-$P34-INDEX(LicByYear,AL34,W$21)))</f>
        <v>0</v>
      </c>
      <c r="X34" s="95">
        <f>IF(OR($C34="",X$21&lt;$B34),0,IF(X$21=$B34,OpenYearShare,1)*($N34*ContribMargin*IF(X$21=$B34,Ramp1,IF(X$21=$B34+1,Ramp2,1))-$P34-INDEX(LicByYear,AL34,X$21)))</f>
        <v>98781.1330382389</v>
      </c>
      <c r="Y34" s="95">
        <f>IF(OR($C34="",Y$21&lt;$B34),0,IF(Y$21=$B34,OpenYearShare,1)*($N34*ContribMargin*IF(Y$21=$B34,Ramp1,IF(Y$21=$B34+1,Ramp2,1))-$P34-INDEX(LicByYear,AL34,Y$21)))</f>
        <v>361082.729186878</v>
      </c>
      <c r="Z34" s="95">
        <f>IF(OR($C34="",Z$21&lt;$B34),0,IF(Z$21=$B34,OpenYearShare,1)*($N34*ContribMargin*IF(Z$21=$B34,Ramp1,IF(Z$21=$B34+1,Ramp2,1))-$P34-INDEX(LicByYear,AL34,Z$21)))</f>
        <v>438033.535356478</v>
      </c>
      <c r="AA34" s="95">
        <f>IF(OR($C34="",AA$21&lt;$B34),0,IF(AA$21=$B34,OpenYearShare,1)*($N34*ContribMargin*IF(AA$21=$B34,Ramp1,IF(AA$21=$B34+1,Ramp2,1))-$P34-INDEX(LicByYear,AL34,AA$21)))</f>
        <v>438033.535356478</v>
      </c>
      <c r="AB34" s="95">
        <f>IF(OR($C34="",AB$21&lt;$B34),0,IF(AB$21=$B34,OpenYearShare,1)*($N34*ContribMargin*IF(AB$21=$B34,Ramp1,IF(AB$21=$B34+1,Ramp2,1))-$P34-INDEX(LicByYear,AL34,AB$21)))</f>
        <v>438033.535356478</v>
      </c>
      <c r="AC34" s="95">
        <f>IF(OR($C34="",AC$21&lt;$B34),0,IF(AC$21=$B34,OpenYearShare,1)*($N34*ContribMargin*IF(AC$21=$B34,Ramp1,IF(AC$21=$B34+1,Ramp2,1))-$P34-INDEX(LicByYear,AL34,AC$21)))</f>
        <v>438033.535356478</v>
      </c>
      <c r="AD34" s="95">
        <f>IF(OR($C34="",AD$21&lt;$B34),0,IF(AD$21=$B34,OpenYearShare,1)*($N34*ContribMargin*IF(AD$21=$B34,Ramp1,IF(AD$21=$B34+1,Ramp2,1))-$P34-INDEX(LicByYear,AL34,AD$21)))</f>
        <v>438033.535356478</v>
      </c>
      <c r="AF34" s="82">
        <f>AF33+IF($C34="SPLUS",1,0)</f>
        <v>3</v>
      </c>
      <c r="AG34" s="82">
        <f>AG33+IF($C34="S",1,0)</f>
        <v>7</v>
      </c>
      <c r="AH34" s="82">
        <f>AH33+IF($C34="D",1,0)</f>
        <v>3</v>
      </c>
      <c r="AI34" s="105">
        <f>IF(OR($A34&gt;PlanStores,AF33&gt;=INDEX(Target,1)),-1000000000,INDEX(Target,1)*$A34-AF33*PlanStores)</f>
        <v>1</v>
      </c>
      <c r="AJ34" s="105">
        <f>IF(OR($A34&gt;PlanStores,AG33&gt;=INDEX(Target,2)),-1000000000,INDEX(Target,2)*$A34-AG33*PlanStores)</f>
        <v>15</v>
      </c>
      <c r="AK34" s="105">
        <f>IF(OR($A34&gt;PlanStores,AH33&gt;=INDEX(Target,3)),-1000000000,INDEX(Target,3)*$A34-AH33*PlanStores)</f>
        <v>14</v>
      </c>
      <c r="AL34" s="82">
        <f>IF($C34="","",MATCH($C34,TierCodes,0))</f>
        <v>2</v>
      </c>
      <c r="AM34" s="82">
        <f>IF($C34="","",IF(OR(StreetChoice="Typical street for its size",INDEX(Cand,AL34)=0),"",MOD($D34-1,INDEX(Cand,AL34))+1))</f>
        <v>7</v>
      </c>
      <c r="AN34" s="82">
        <f>IF(AM34="","",MATCH($C34&amp;"|"&amp;AM34,Melbourne!$AA$58:$AA$135,0))</f>
        <v>13</v>
      </c>
      <c r="AO34" s="76">
        <f>IF($C34="","",Ramp1*$N34*ContribMargin-$P34-INDEX(LicPlan,AL34))</f>
        <v>197562.266076478</v>
      </c>
      <c r="AP34" s="76">
        <f>IF($C34="","",Ramp2*$N34*ContribMargin-$P34-INDEX(LicPlan,AL34))</f>
        <v>361082.729186878</v>
      </c>
      <c r="AR34" s="61">
        <f>IF($C34="","",MAX(Scale!$C$7,($D34+Scale!$C$8*($A34-$D34))^LOG(Scale!$C$6,2)))</f>
        <v>0.853537210270882</v>
      </c>
      <c r="AS34" s="61">
        <f>IF($C34="","",1-IF(IF(Deal="Commit to the full plan",PlanStores,$A34)&gt;=PBAt4,Scale!$C$12,IF(IF(Deal="Commit to the full plan",PlanStores,$A34)&gt;=PBAt3,Scale!$C$11,IF(IF(Deal="Commit to the full plan",PlanStores,$A34)&gt;=PBAt2,Scale!$C$10,IF(IF(Deal="Commit to the full plan",PlanStores,$A34)&gt;=PBAt1,Scale!$C$9,0)))))</f>
        <v>0.96</v>
      </c>
      <c r="AT34" s="61">
        <f>IF($C34="","",MAX(Scale!$D$7,($D34+Scale!$D$8*($A34-$D34))^LOG(Scale!$D$6,2)))</f>
        <v>0.704688049512346</v>
      </c>
      <c r="AU34" s="61">
        <f>IF($C34="","",1-IF(IF(Deal="Commit to the full plan",PlanStores,$A34)&gt;=PBAt4,Scale!$D$12,IF(IF(Deal="Commit to the full plan",PlanStores,$A34)&gt;=PBAt3,Scale!$D$11,IF(IF(Deal="Commit to the full plan",PlanStores,$A34)&gt;=PBAt2,Scale!$D$10,IF(IF(Deal="Commit to the full plan",PlanStores,$A34)&gt;=PBAt1,Scale!$D$9,0)))))</f>
        <v>0.93</v>
      </c>
      <c r="AV34" s="61">
        <f>IF($C34="","",MAX(Scale!$E$7,($D34+Scale!$E$8*($A34-$D34))^LOG(Scale!$E$6,2)))</f>
        <v>0.6</v>
      </c>
      <c r="AW34" s="61">
        <f>IF($C34="","",1-IF(IF(Deal="Commit to the full plan",PlanStores,$A34)&gt;=PBAt4,Scale!$E$12,IF(IF(Deal="Commit to the full plan",PlanStores,$A34)&gt;=PBAt3,Scale!$E$11,IF(IF(Deal="Commit to the full plan",PlanStores,$A34)&gt;=PBAt2,Scale!$E$10,IF(IF(Deal="Commit to the full plan",PlanStores,$A34)&gt;=PBAt1,Scale!$E$9,0)))))</f>
        <v>0.91</v>
      </c>
    </row>
    <row r="35">
      <c r="A35" s="110" t="n">
        <v>14</v>
      </c>
      <c r="B35" s="111">
        <f>IF($A35&gt;PlanStores,"",1+COUNTIF(CumOpenings,"&lt;"&amp;$A35))</f>
        <v>4</v>
      </c>
      <c r="C35" s="14" t="str">
        <f>IF($A35&gt;PlanStores,"",IF(AND($A35=1,FlagshipFirst="Yes",INDEX(Target,1)&gt;0),"SPLUS",IF(AND(AI35&gt;=AJ35,AI35&gt;=AK35),"SPLUS",IF(AJ35&gt;=AK35,"S","D"))))</f>
        <v>D</v>
      </c>
      <c r="D35" s="111">
        <f>IF($C35="","",IF($C35="SPLUS",AF35,IF($C35="S",AG35,AH35)))</f>
        <v>4</v>
      </c>
      <c r="E35" s="112">
        <f>IF($C35="","",$D35+LearnShared*($A35-$D35))</f>
        <v>9</v>
      </c>
      <c r="F35" s="85">
        <f>IF($C35="","",MAX(LearnFloor,$E35^LOG(LearnRate,2)))</f>
        <v>0.716064571270843</v>
      </c>
      <c r="G35" s="85">
        <f>IF($C35="","",1-IF(IF(Deal="Commit to the full plan",PlanStores,$A35)&gt;=PBAt4,PBDisc4,IF(IF(Deal="Commit to the full plan",PlanStores,$A35)&gt;=PBAt3,PBDisc3,IF(IF(Deal="Commit to the full plan",PlanStores,$A35)&gt;=PBAt2,PBDisc2,IF(IF(Deal="Commit to the full plan",PlanStores,$A35)&gt;=PBAt1,PBDisc1,0)))))</f>
        <v>0.93</v>
      </c>
      <c r="H35" s="39">
        <f>IF($C35="","",INDEX(BaseL,AL35)*$F35+INDEX(BaseV,AL35)*$G35+INDEX(BaseN,AL35))</f>
        <v>383208.712149949</v>
      </c>
      <c r="I35" s="39">
        <f>IF($C35="","",$H35*(1+BuildInflation)^($B35-1))</f>
        <v>418742.506401477</v>
      </c>
      <c r="J35" s="40" t="str">
        <f>IF($C35="","",IF(AN35="",IF(INDEX(Cand,AL35)=0,"No street of this size","Typical "&amp;LOWER(INDEX(TierNames,AL35))&amp;" street"),INDEX(Melbourne!$B$58:$B$135,AN35)))</f>
        <v>Faraday St-Lygon St (West)</v>
      </c>
      <c r="K35" s="40" t="str">
        <f>IF(OR($C35="",AN35=""),"",INDEX(Melbourne!$C$58:$C$135,AN35))</f>
        <v>Destination Retail</v>
      </c>
      <c r="L35" s="46">
        <f>IF($C35="","",IF(AN35="",INDEX(TypicalF,AL35),INDEX(Melbourne!$E$58:$E$135,AN35)))</f>
        <v>1956080</v>
      </c>
      <c r="M35" s="86">
        <f>IF($C35="","",IF(AN35="",INDEX(TypicalQ,AL35),INDEX(Melbourne!$N$58:$N$135,AN35)))</f>
        <v>1.2</v>
      </c>
      <c r="N35" s="39">
        <f>IF($C35="","",MIN($L35*Capture*$M35*Conversion*Ticket,INDEX(CapacityPsf,AL35)*INDEX(Area,AL35)))</f>
        <v>1080000</v>
      </c>
      <c r="O35" s="39">
        <f>IF($C35="","",INDEX(Area,AL35)*RentPsf*($L35/Fref)^RentElasticity)</f>
        <v>60397.4348908428</v>
      </c>
      <c r="P35" s="39">
        <f>IF($C35="","",$O35+INDEX(RunOther,AL35))</f>
        <v>261355.864224176</v>
      </c>
      <c r="Q35" s="95">
        <f>IF($C35="","",$N35*ContribMargin-$P35-INDEX(LicPlan,AL35))</f>
        <v>305914.135775824</v>
      </c>
      <c r="R35" s="113">
        <f>IF($C35="","",IF(AND(AO35&gt;=$H35,AO35&gt;0),$H35/AO35,IF(AND(AO35+AP35&gt;=$H35,AP35&gt;0),1+($H35-AO35)/AP35,IF($Q35&gt;0,2+($H35-AO35-AP35)/$Q35,"Never"))))</f>
        <v>1.8472734383669</v>
      </c>
      <c r="S35" s="39">
        <f>IF($C35="","",StockWeeks/52*$N35*(1-GrossMargin))</f>
        <v>58153.8461538462</v>
      </c>
      <c r="U35" s="95">
        <f>IF(OR($C35="",U$21&lt;$B35),0,IF(U$21=$B35,OpenYearShare,1)*($N35*ContribMargin*IF(U$21=$B35,Ramp1,IF(U$21=$B35+1,Ramp2,1))-$P35-INDEX(LicByYear,AL35,U$21)))</f>
        <v>0</v>
      </c>
      <c r="V35" s="95">
        <f>IF(OR($C35="",V$21&lt;$B35),0,IF(V$21=$B35,OpenYearShare,1)*($N35*ContribMargin*IF(V$21=$B35,Ramp1,IF(V$21=$B35+1,Ramp2,1))-$P35-INDEX(LicByYear,AL35,V$21)))</f>
        <v>0</v>
      </c>
      <c r="W35" s="95">
        <f>IF(OR($C35="",W$21&lt;$B35),0,IF(W$21=$B35,OpenYearShare,1)*($N35*ContribMargin*IF(W$21=$B35,Ramp1,IF(W$21=$B35+1,Ramp2,1))-$P35-INDEX(LicByYear,AL35,W$21)))</f>
        <v>0</v>
      </c>
      <c r="X35" s="95">
        <f>IF(OR($C35="",X$21&lt;$B35),0,IF(X$21=$B35,OpenYearShare,1)*($N35*ContribMargin*IF(X$21=$B35,Ramp1,IF(X$21=$B35+1,Ramp2,1))-$P35-INDEX(LicByYear,AL35,X$21)))</f>
        <v>81407.067887912</v>
      </c>
      <c r="Y35" s="95">
        <f>IF(OR($C35="",Y$21&lt;$B35),0,IF(Y$21=$B35,OpenYearShare,1)*($N35*ContribMargin*IF(Y$21=$B35,Ramp1,IF(Y$21=$B35+1,Ramp2,1))-$P35-INDEX(LicByYear,AL35,Y$21)))</f>
        <v>260122.135775824</v>
      </c>
      <c r="Z35" s="95">
        <f>IF(OR($C35="",Z$21&lt;$B35),0,IF(Z$21=$B35,OpenYearShare,1)*($N35*ContribMargin*IF(Z$21=$B35,Ramp1,IF(Z$21=$B35+1,Ramp2,1))-$P35-INDEX(LicByYear,AL35,Z$21)))</f>
        <v>305914.135775824</v>
      </c>
      <c r="AA35" s="95">
        <f>IF(OR($C35="",AA$21&lt;$B35),0,IF(AA$21=$B35,OpenYearShare,1)*($N35*ContribMargin*IF(AA$21=$B35,Ramp1,IF(AA$21=$B35+1,Ramp2,1))-$P35-INDEX(LicByYear,AL35,AA$21)))</f>
        <v>305914.135775824</v>
      </c>
      <c r="AB35" s="95">
        <f>IF(OR($C35="",AB$21&lt;$B35),0,IF(AB$21=$B35,OpenYearShare,1)*($N35*ContribMargin*IF(AB$21=$B35,Ramp1,IF(AB$21=$B35+1,Ramp2,1))-$P35-INDEX(LicByYear,AL35,AB$21)))</f>
        <v>305914.135775824</v>
      </c>
      <c r="AC35" s="95">
        <f>IF(OR($C35="",AC$21&lt;$B35),0,IF(AC$21=$B35,OpenYearShare,1)*($N35*ContribMargin*IF(AC$21=$B35,Ramp1,IF(AC$21=$B35+1,Ramp2,1))-$P35-INDEX(LicByYear,AL35,AC$21)))</f>
        <v>305914.135775824</v>
      </c>
      <c r="AD35" s="95">
        <f>IF(OR($C35="",AD$21&lt;$B35),0,IF(AD$21=$B35,OpenYearShare,1)*($N35*ContribMargin*IF(AD$21=$B35,Ramp1,IF(AD$21=$B35+1,Ramp2,1))-$P35-INDEX(LicByYear,AL35,AD$21)))</f>
        <v>305914.135775824</v>
      </c>
      <c r="AF35" s="82">
        <f>AF34+IF($C35="SPLUS",1,0)</f>
        <v>3</v>
      </c>
      <c r="AG35" s="82">
        <f>AG34+IF($C35="S",1,0)</f>
        <v>7</v>
      </c>
      <c r="AH35" s="82">
        <f>AH34+IF($C35="D",1,0)</f>
        <v>4</v>
      </c>
      <c r="AI35" s="105">
        <f>IF(OR($A35&gt;PlanStores,AF34&gt;=INDEX(Target,1)),-1000000000,INDEX(Target,1)*$A35-AF34*PlanStores)</f>
        <v>8</v>
      </c>
      <c r="AJ35" s="105">
        <f>IF(OR($A35&gt;PlanStores,AG34&gt;=INDEX(Target,2)),-1000000000,INDEX(Target,2)*$A35-AG34*PlanStores)</f>
        <v>0</v>
      </c>
      <c r="AK35" s="105">
        <f>IF(OR($A35&gt;PlanStores,AH34&gt;=INDEX(Target,3)),-1000000000,INDEX(Target,3)*$A35-AH34*PlanStores)</f>
        <v>22</v>
      </c>
      <c r="AL35" s="82">
        <f>IF($C35="","",MATCH($C35,TierCodes,0))</f>
        <v>3</v>
      </c>
      <c r="AM35" s="82">
        <f>IF($C35="","",IF(OR(StreetChoice="Typical street for its size",INDEX(Cand,AL35)=0),"",MOD($D35-1,INDEX(Cand,AL35))+1))</f>
        <v>4</v>
      </c>
      <c r="AN35" s="82">
        <f>IF(AM35="","",MATCH($C35&amp;"|"&amp;AM35,Melbourne!$AA$58:$AA$135,0))</f>
        <v>51</v>
      </c>
      <c r="AO35" s="76">
        <f>IF($C35="","",Ramp1*$N35*ContribMargin-$P35-INDEX(LicPlan,AL35))</f>
        <v>162814.135775824</v>
      </c>
      <c r="AP35" s="76">
        <f>IF($C35="","",Ramp2*$N35*ContribMargin-$P35-INDEX(LicPlan,AL35))</f>
        <v>260122.135775824</v>
      </c>
      <c r="AR35" s="61">
        <f>IF($C35="","",MAX(Scale!$C$7,($D35+Scale!$C$8*($A35-$D35))^LOG(Scale!$C$6,2)))</f>
        <v>0.870650670764951</v>
      </c>
      <c r="AS35" s="61">
        <f>IF($C35="","",1-IF(IF(Deal="Commit to the full plan",PlanStores,$A35)&gt;=PBAt4,Scale!$C$12,IF(IF(Deal="Commit to the full plan",PlanStores,$A35)&gt;=PBAt3,Scale!$C$11,IF(IF(Deal="Commit to the full plan",PlanStores,$A35)&gt;=PBAt2,Scale!$C$10,IF(IF(Deal="Commit to the full plan",PlanStores,$A35)&gt;=PBAt1,Scale!$C$9,0)))))</f>
        <v>0.96</v>
      </c>
      <c r="AT35" s="61">
        <f>IF($C35="","",MAX(Scale!$D$7,($D35+Scale!$D$8*($A35-$D35))^LOG(Scale!$D$6,2)))</f>
        <v>0.716064571270843</v>
      </c>
      <c r="AU35" s="61">
        <f>IF($C35="","",1-IF(IF(Deal="Commit to the full plan",PlanStores,$A35)&gt;=PBAt4,Scale!$D$12,IF(IF(Deal="Commit to the full plan",PlanStores,$A35)&gt;=PBAt3,Scale!$D$11,IF(IF(Deal="Commit to the full plan",PlanStores,$A35)&gt;=PBAt2,Scale!$D$10,IF(IF(Deal="Commit to the full plan",PlanStores,$A35)&gt;=PBAt1,Scale!$D$9,0)))))</f>
        <v>0.93</v>
      </c>
      <c r="AV35" s="61">
        <f>IF($C35="","",MAX(Scale!$E$7,($D35+Scale!$E$8*($A35-$D35))^LOG(Scale!$E$6,2)))</f>
        <v>0.6</v>
      </c>
      <c r="AW35" s="61">
        <f>IF($C35="","",1-IF(IF(Deal="Commit to the full plan",PlanStores,$A35)&gt;=PBAt4,Scale!$E$12,IF(IF(Deal="Commit to the full plan",PlanStores,$A35)&gt;=PBAt3,Scale!$E$11,IF(IF(Deal="Commit to the full plan",PlanStores,$A35)&gt;=PBAt2,Scale!$E$10,IF(IF(Deal="Commit to the full plan",PlanStores,$A35)&gt;=PBAt1,Scale!$E$9,0)))))</f>
        <v>0.91</v>
      </c>
    </row>
    <row r="36">
      <c r="A36" s="110" t="n">
        <v>15</v>
      </c>
      <c r="B36" s="111">
        <f>IF($A36&gt;PlanStores,"",1+COUNTIF(CumOpenings,"&lt;"&amp;$A36))</f>
        <v>4</v>
      </c>
      <c r="C36" s="14" t="str">
        <f>IF($A36&gt;PlanStores,"",IF(AND($A36=1,FlagshipFirst="Yes",INDEX(Target,1)&gt;0),"SPLUS",IF(AND(AI36&gt;=AJ36,AI36&gt;=AK36),"SPLUS",IF(AJ36&gt;=AK36,"S","D"))))</f>
        <v>SPLUS</v>
      </c>
      <c r="D36" s="111">
        <f>IF($C36="","",IF($C36="SPLUS",AF36,IF($C36="S",AG36,AH36)))</f>
        <v>4</v>
      </c>
      <c r="E36" s="112">
        <f>IF($C36="","",$D36+LearnShared*($A36-$D36))</f>
        <v>9.5</v>
      </c>
      <c r="F36" s="85">
        <f>IF($C36="","",MAX(LearnFloor,$E36^LOG(LearnRate,2)))</f>
        <v>0.710203793072916</v>
      </c>
      <c r="G36" s="85">
        <f>IF($C36="","",1-IF(IF(Deal="Commit to the full plan",PlanStores,$A36)&gt;=PBAt4,PBDisc4,IF(IF(Deal="Commit to the full plan",PlanStores,$A36)&gt;=PBAt3,PBDisc3,IF(IF(Deal="Commit to the full plan",PlanStores,$A36)&gt;=PBAt2,PBDisc2,IF(IF(Deal="Commit to the full plan",PlanStores,$A36)&gt;=PBAt1,PBDisc1,0)))))</f>
        <v>0.9</v>
      </c>
      <c r="H36" s="39">
        <f>IF($C36="","",INDEX(BaseL,AL36)*$F36+INDEX(BaseV,AL36)*$G36+INDEX(BaseN,AL36))</f>
        <v>1181958.27061216</v>
      </c>
      <c r="I36" s="39">
        <f>IF($C36="","",$H36*(1+BuildInflation)^($B36-1))</f>
        <v>1291557.71517122</v>
      </c>
      <c r="J36" s="40" t="str">
        <f>IF($C36="","",IF(AN36="",IF(INDEX(Cand,AL36)=0,"No street of this size","Typical "&amp;LOWER(INDEX(TierNames,AL36))&amp;" street"),INDEX(Melbourne!$B$58:$B$135,AN36)))</f>
        <v>Melbourne Central</v>
      </c>
      <c r="K36" s="40" t="str">
        <f>IF(OR($C36="",AN36=""),"",INDEX(Melbourne!$C$58:$C$135,AN36))</f>
        <v>Evening / Entertainment</v>
      </c>
      <c r="L36" s="46">
        <f>IF($C36="","",IF(AN36="",INDEX(TypicalF,AL36),INDEX(Melbourne!$E$58:$E$135,AN36)))</f>
        <v>9874966</v>
      </c>
      <c r="M36" s="86">
        <f>IF($C36="","",IF(AN36="",INDEX(TypicalQ,AL36),INDEX(Melbourne!$N$58:$N$135,AN36)))</f>
        <v>1.1</v>
      </c>
      <c r="N36" s="39">
        <f>IF($C36="","",MIN($L36*Capture*$M36*Conversion*Ticket,INDEX(CapacityPsf,AL36)*INDEX(Area,AL36)))</f>
        <v>5213982.048</v>
      </c>
      <c r="O36" s="39">
        <f>IF($C36="","",INDEX(Area,AL36)*RentPsf*($L36/Fref)^RentElasticity)</f>
        <v>555887.425189005</v>
      </c>
      <c r="P36" s="39">
        <f>IF($C36="","",$O36+INDEX(RunOther,AL36))</f>
        <v>1054181.17185567</v>
      </c>
      <c r="Q36" s="95">
        <f>IF($C36="","",$N36*ContribMargin-$P36-INDEX(LicPlan,AL36))</f>
        <v>1696404.31358433</v>
      </c>
      <c r="R36" s="113">
        <f>IF($C36="","",IF(AND(AO36&gt;=$H36,AO36&gt;0),$H36/AO36,IF(AND(AO36+AP36&gt;=$H36,AP36&gt;0),1+($H36-AO36)/AP36,IF($Q36&gt;0,2+($H36-AO36-AP36)/$Q36,"Never"))))</f>
        <v>1.11957080927717</v>
      </c>
      <c r="S36" s="39">
        <f>IF($C36="","",StockWeeks/52*$N36*(1-GrossMargin))</f>
        <v>280752.879507692</v>
      </c>
      <c r="U36" s="95">
        <f>IF(OR($C36="",U$21&lt;$B36),0,IF(U$21=$B36,OpenYearShare,1)*($N36*ContribMargin*IF(U$21=$B36,Ramp1,IF(U$21=$B36+1,Ramp2,1))-$P36-INDEX(LicByYear,AL36,U$21)))</f>
        <v>0</v>
      </c>
      <c r="V36" s="95">
        <f>IF(OR($C36="",V$21&lt;$B36),0,IF(V$21=$B36,OpenYearShare,1)*($N36*ContribMargin*IF(V$21=$B36,Ramp1,IF(V$21=$B36+1,Ramp2,1))-$P36-INDEX(LicByYear,AL36,V$21)))</f>
        <v>0</v>
      </c>
      <c r="W36" s="95">
        <f>IF(OR($C36="",W$21&lt;$B36),0,IF(W$21=$B36,OpenYearShare,1)*($N36*ContribMargin*IF(W$21=$B36,Ramp1,IF(W$21=$B36+1,Ramp2,1))-$P36-INDEX(LicByYear,AL36,W$21)))</f>
        <v>0</v>
      </c>
      <c r="X36" s="95">
        <f>IF(OR($C36="",X$21&lt;$B36),0,IF(X$21=$B36,OpenYearShare,1)*($N36*ContribMargin*IF(X$21=$B36,Ramp1,IF(X$21=$B36+1,Ramp2,1))-$P36-INDEX(LicByYear,AL36,X$21)))</f>
        <v>502775.846112164</v>
      </c>
      <c r="Y36" s="95">
        <f>IF(OR($C36="",Y$21&lt;$B36),0,IF(Y$21=$B36,OpenYearShare,1)*($N36*ContribMargin*IF(Y$21=$B36,Ramp1,IF(Y$21=$B36+1,Ramp2,1))-$P36-INDEX(LicByYear,AL36,Y$21)))</f>
        <v>1475331.47474913</v>
      </c>
      <c r="Z36" s="95">
        <f>IF(OR($C36="",Z$21&lt;$B36),0,IF(Z$21=$B36,OpenYearShare,1)*($N36*ContribMargin*IF(Z$21=$B36,Ramp1,IF(Z$21=$B36+1,Ramp2,1))-$P36-INDEX(LicByYear,AL36,Z$21)))</f>
        <v>1696404.31358433</v>
      </c>
      <c r="AA36" s="95">
        <f>IF(OR($C36="",AA$21&lt;$B36),0,IF(AA$21=$B36,OpenYearShare,1)*($N36*ContribMargin*IF(AA$21=$B36,Ramp1,IF(AA$21=$B36+1,Ramp2,1))-$P36-INDEX(LicByYear,AL36,AA$21)))</f>
        <v>1696404.31358433</v>
      </c>
      <c r="AB36" s="95">
        <f>IF(OR($C36="",AB$21&lt;$B36),0,IF(AB$21=$B36,OpenYearShare,1)*($N36*ContribMargin*IF(AB$21=$B36,Ramp1,IF(AB$21=$B36+1,Ramp2,1))-$P36-INDEX(LicByYear,AL36,AB$21)))</f>
        <v>1696404.31358433</v>
      </c>
      <c r="AC36" s="95">
        <f>IF(OR($C36="",AC$21&lt;$B36),0,IF(AC$21=$B36,OpenYearShare,1)*($N36*ContribMargin*IF(AC$21=$B36,Ramp1,IF(AC$21=$B36+1,Ramp2,1))-$P36-INDEX(LicByYear,AL36,AC$21)))</f>
        <v>1696404.31358433</v>
      </c>
      <c r="AD36" s="95">
        <f>IF(OR($C36="",AD$21&lt;$B36),0,IF(AD$21=$B36,OpenYearShare,1)*($N36*ContribMargin*IF(AD$21=$B36,Ramp1,IF(AD$21=$B36+1,Ramp2,1))-$P36-INDEX(LicByYear,AL36,AD$21)))</f>
        <v>1696404.31358433</v>
      </c>
      <c r="AF36" s="82">
        <f>AF35+IF($C36="SPLUS",1,0)</f>
        <v>4</v>
      </c>
      <c r="AG36" s="82">
        <f>AG35+IF($C36="S",1,0)</f>
        <v>7</v>
      </c>
      <c r="AH36" s="82">
        <f>AH35+IF($C36="D",1,0)</f>
        <v>4</v>
      </c>
      <c r="AI36" s="105">
        <f>IF(OR($A36&gt;PlanStores,AF35&gt;=INDEX(Target,1)),-1000000000,INDEX(Target,1)*$A36-AF35*PlanStores)</f>
        <v>15</v>
      </c>
      <c r="AJ36" s="105">
        <f>IF(OR($A36&gt;PlanStores,AG35&gt;=INDEX(Target,2)),-1000000000,INDEX(Target,2)*$A36-AG35*PlanStores)</f>
        <v>15</v>
      </c>
      <c r="AK36" s="105">
        <f>IF(OR($A36&gt;PlanStores,AH35&gt;=INDEX(Target,3)),-1000000000,INDEX(Target,3)*$A36-AH35*PlanStores)</f>
        <v>0</v>
      </c>
      <c r="AL36" s="82">
        <f>IF($C36="","",MATCH($C36,TierCodes,0))</f>
        <v>1</v>
      </c>
      <c r="AM36" s="82">
        <f>IF($C36="","",IF(OR(StreetChoice="Typical street for its size",INDEX(Cand,AL36)=0),"",MOD($D36-1,INDEX(Cand,AL36))+1))</f>
        <v>4</v>
      </c>
      <c r="AN36" s="82">
        <f>IF(AM36="","",MATCH($C36&amp;"|"&amp;AM36,Melbourne!$AA$58:$AA$135,0))</f>
        <v>6</v>
      </c>
      <c r="AO36" s="76">
        <f>IF($C36="","",Ramp1*$N36*ContribMargin-$P36-INDEX(LicPlan,AL36))</f>
        <v>1005551.69222433</v>
      </c>
      <c r="AP36" s="76">
        <f>IF($C36="","",Ramp2*$N36*ContribMargin-$P36-INDEX(LicPlan,AL36))</f>
        <v>1475331.47474913</v>
      </c>
      <c r="AR36" s="61">
        <f>IF($C36="","",MAX(Scale!$C$7,($D36+Scale!$C$8*($A36-$D36))^LOG(Scale!$C$6,2)))</f>
        <v>0.86822250443815</v>
      </c>
      <c r="AS36" s="61">
        <f>IF($C36="","",1-IF(IF(Deal="Commit to the full plan",PlanStores,$A36)&gt;=PBAt4,Scale!$C$12,IF(IF(Deal="Commit to the full plan",PlanStores,$A36)&gt;=PBAt3,Scale!$C$11,IF(IF(Deal="Commit to the full plan",PlanStores,$A36)&gt;=PBAt2,Scale!$C$10,IF(IF(Deal="Commit to the full plan",PlanStores,$A36)&gt;=PBAt1,Scale!$C$9,0)))))</f>
        <v>0.94</v>
      </c>
      <c r="AT36" s="61">
        <f>IF($C36="","",MAX(Scale!$D$7,($D36+Scale!$D$8*($A36-$D36))^LOG(Scale!$D$6,2)))</f>
        <v>0.710203793072916</v>
      </c>
      <c r="AU36" s="61">
        <f>IF($C36="","",1-IF(IF(Deal="Commit to the full plan",PlanStores,$A36)&gt;=PBAt4,Scale!$D$12,IF(IF(Deal="Commit to the full plan",PlanStores,$A36)&gt;=PBAt3,Scale!$D$11,IF(IF(Deal="Commit to the full plan",PlanStores,$A36)&gt;=PBAt2,Scale!$D$10,IF(IF(Deal="Commit to the full plan",PlanStores,$A36)&gt;=PBAt1,Scale!$D$9,0)))))</f>
        <v>0.9</v>
      </c>
      <c r="AV36" s="61">
        <f>IF($C36="","",MAX(Scale!$E$7,($D36+Scale!$E$8*($A36-$D36))^LOG(Scale!$E$6,2)))</f>
        <v>0.6</v>
      </c>
      <c r="AW36" s="61">
        <f>IF($C36="","",1-IF(IF(Deal="Commit to the full plan",PlanStores,$A36)&gt;=PBAt4,Scale!$E$12,IF(IF(Deal="Commit to the full plan",PlanStores,$A36)&gt;=PBAt3,Scale!$E$11,IF(IF(Deal="Commit to the full plan",PlanStores,$A36)&gt;=PBAt2,Scale!$E$10,IF(IF(Deal="Commit to the full plan",PlanStores,$A36)&gt;=PBAt1,Scale!$E$9,0)))))</f>
        <v>0.87</v>
      </c>
    </row>
    <row r="37">
      <c r="A37" s="110" t="n">
        <v>16</v>
      </c>
      <c r="B37" s="111">
        <f>IF($A37&gt;PlanStores,"",1+COUNTIF(CumOpenings,"&lt;"&amp;$A37))</f>
        <v>4</v>
      </c>
      <c r="C37" s="14" t="str">
        <f>IF($A37&gt;PlanStores,"",IF(AND($A37=1,FlagshipFirst="Yes",INDEX(Target,1)&gt;0),"SPLUS",IF(AND(AI37&gt;=AJ37,AI37&gt;=AK37),"SPLUS",IF(AJ37&gt;=AK37,"S","D"))))</f>
        <v>S</v>
      </c>
      <c r="D37" s="111">
        <f>IF($C37="","",IF($C37="SPLUS",AF37,IF($C37="S",AG37,AH37)))</f>
        <v>8</v>
      </c>
      <c r="E37" s="112">
        <f>IF($C37="","",$D37+LearnShared*($A37-$D37))</f>
        <v>12</v>
      </c>
      <c r="F37" s="85">
        <f>IF($C37="","",MAX(LearnFloor,$E37^LOG(LearnRate,2)))</f>
        <v>0.7</v>
      </c>
      <c r="G37" s="85">
        <f>IF($C37="","",1-IF(IF(Deal="Commit to the full plan",PlanStores,$A37)&gt;=PBAt4,PBDisc4,IF(IF(Deal="Commit to the full plan",PlanStores,$A37)&gt;=PBAt3,PBDisc3,IF(IF(Deal="Commit to the full plan",PlanStores,$A37)&gt;=PBAt2,PBDisc2,IF(IF(Deal="Commit to the full plan",PlanStores,$A37)&gt;=PBAt1,PBDisc1,0)))))</f>
        <v>0.9</v>
      </c>
      <c r="H37" s="39">
        <f>IF($C37="","",INDEX(BaseL,AL37)*$F37+INDEX(BaseV,AL37)*$G37+INDEX(BaseN,AL37))</f>
        <v>661637.5</v>
      </c>
      <c r="I37" s="39">
        <f>IF($C37="","",$H37*(1+BuildInflation)^($B37-1))</f>
        <v>722989.1604625</v>
      </c>
      <c r="J37" s="40" t="str">
        <f>IF($C37="","",IF(AN37="",IF(INDEX(Cand,AL37)=0,"No street of this size","Typical "&amp;LOWER(INDEX(TierNames,AL37))&amp;" street"),INDEX(Melbourne!$B$58:$B$135,AN37)))</f>
        <v>Melbourne Convention Exhibition Centre</v>
      </c>
      <c r="K37" s="40" t="str">
        <f>IF(OR($C37="",AN37=""),"",INDEX(Melbourne!$C$58:$C$135,AN37))</f>
        <v>Transit Spine</v>
      </c>
      <c r="L37" s="46">
        <f>IF($C37="","",IF(AN37="",INDEX(TypicalF,AL37),INDEX(Melbourne!$E$58:$E$135,AN37)))</f>
        <v>6091250</v>
      </c>
      <c r="M37" s="86">
        <f>IF($C37="","",IF(AN37="",INDEX(TypicalQ,AL37),INDEX(Melbourne!$N$58:$N$135,AN37)))</f>
        <v>0.6</v>
      </c>
      <c r="N37" s="39">
        <f>IF($C37="","",MIN($L37*Capture*$M37*Conversion*Ticket,INDEX(CapacityPsf,AL37)*INDEX(Area,AL37)))</f>
        <v>1754280</v>
      </c>
      <c r="O37" s="39">
        <f>IF($C37="","",INDEX(Area,AL37)*RentPsf*($L37/Fref)^RentElasticity)</f>
        <v>206816.805418814</v>
      </c>
      <c r="P37" s="39">
        <f>IF($C37="","",$O37+INDEX(RunOther,AL37))</f>
        <v>511402.378752147</v>
      </c>
      <c r="Q37" s="95">
        <f>IF($C37="","",$N37*ContribMargin-$P37-INDEX(LicPlan,AL37))</f>
        <v>409816.021247853</v>
      </c>
      <c r="R37" s="113">
        <f>IF($C37="","",IF(AND(AO37&gt;=$H37,AO37&gt;0),$H37/AO37,IF(AND(AO37+AP37&gt;=$H37,AP37&gt;0),1+($H37-AO37)/AP37,IF($Q37&gt;0,2+($H37-AO37-AP37)/$Q37,"Never"))))</f>
        <v>2.36316059350516</v>
      </c>
      <c r="S37" s="39">
        <f>IF($C37="","",StockWeeks/52*$N37*(1-GrossMargin))</f>
        <v>94461.2307692308</v>
      </c>
      <c r="U37" s="95">
        <f>IF(OR($C37="",U$21&lt;$B37),0,IF(U$21=$B37,OpenYearShare,1)*($N37*ContribMargin*IF(U$21=$B37,Ramp1,IF(U$21=$B37+1,Ramp2,1))-$P37-INDEX(LicByYear,AL37,U$21)))</f>
        <v>0</v>
      </c>
      <c r="V37" s="95">
        <f>IF(OR($C37="",V$21&lt;$B37),0,IF(V$21=$B37,OpenYearShare,1)*($N37*ContribMargin*IF(V$21=$B37,Ramp1,IF(V$21=$B37+1,Ramp2,1))-$P37-INDEX(LicByYear,AL37,V$21)))</f>
        <v>0</v>
      </c>
      <c r="W37" s="95">
        <f>IF(OR($C37="",W$21&lt;$B37),0,IF(W$21=$B37,OpenYearShare,1)*($N37*ContribMargin*IF(W$21=$B37,Ramp1,IF(W$21=$B37+1,Ramp2,1))-$P37-INDEX(LicByYear,AL37,W$21)))</f>
        <v>0</v>
      </c>
      <c r="X37" s="95">
        <f>IF(OR($C37="",X$21&lt;$B37),0,IF(X$21=$B37,OpenYearShare,1)*($N37*ContribMargin*IF(X$21=$B37,Ramp1,IF(X$21=$B37+1,Ramp2,1))-$P37-INDEX(LicByYear,AL37,X$21)))</f>
        <v>88686.9606239264</v>
      </c>
      <c r="Y37" s="95">
        <f>IF(OR($C37="",Y$21&lt;$B37),0,IF(Y$21=$B37,OpenYearShare,1)*($N37*ContribMargin*IF(Y$21=$B37,Ramp1,IF(Y$21=$B37+1,Ramp2,1))-$P37-INDEX(LicByYear,AL37,Y$21)))</f>
        <v>335434.549247853</v>
      </c>
      <c r="Z37" s="95">
        <f>IF(OR($C37="",Z$21&lt;$B37),0,IF(Z$21=$B37,OpenYearShare,1)*($N37*ContribMargin*IF(Z$21=$B37,Ramp1,IF(Z$21=$B37+1,Ramp2,1))-$P37-INDEX(LicByYear,AL37,Z$21)))</f>
        <v>409816.021247853</v>
      </c>
      <c r="AA37" s="95">
        <f>IF(OR($C37="",AA$21&lt;$B37),0,IF(AA$21=$B37,OpenYearShare,1)*($N37*ContribMargin*IF(AA$21=$B37,Ramp1,IF(AA$21=$B37+1,Ramp2,1))-$P37-INDEX(LicByYear,AL37,AA$21)))</f>
        <v>409816.021247853</v>
      </c>
      <c r="AB37" s="95">
        <f>IF(OR($C37="",AB$21&lt;$B37),0,IF(AB$21=$B37,OpenYearShare,1)*($N37*ContribMargin*IF(AB$21=$B37,Ramp1,IF(AB$21=$B37+1,Ramp2,1))-$P37-INDEX(LicByYear,AL37,AB$21)))</f>
        <v>409816.021247853</v>
      </c>
      <c r="AC37" s="95">
        <f>IF(OR($C37="",AC$21&lt;$B37),0,IF(AC$21=$B37,OpenYearShare,1)*($N37*ContribMargin*IF(AC$21=$B37,Ramp1,IF(AC$21=$B37+1,Ramp2,1))-$P37-INDEX(LicByYear,AL37,AC$21)))</f>
        <v>409816.021247853</v>
      </c>
      <c r="AD37" s="95">
        <f>IF(OR($C37="",AD$21&lt;$B37),0,IF(AD$21=$B37,OpenYearShare,1)*($N37*ContribMargin*IF(AD$21=$B37,Ramp1,IF(AD$21=$B37+1,Ramp2,1))-$P37-INDEX(LicByYear,AL37,AD$21)))</f>
        <v>409816.021247853</v>
      </c>
      <c r="AF37" s="82">
        <f>AF36+IF($C37="SPLUS",1,0)</f>
        <v>4</v>
      </c>
      <c r="AG37" s="82">
        <f>AG36+IF($C37="S",1,0)</f>
        <v>8</v>
      </c>
      <c r="AH37" s="82">
        <f>AH36+IF($C37="D",1,0)</f>
        <v>4</v>
      </c>
      <c r="AI37" s="105">
        <f>IF(OR($A37&gt;PlanStores,AF36&gt;=INDEX(Target,1)),-1000000000,INDEX(Target,1)*$A37-AF36*PlanStores)</f>
        <v>-8</v>
      </c>
      <c r="AJ37" s="105">
        <f>IF(OR($A37&gt;PlanStores,AG36&gt;=INDEX(Target,2)),-1000000000,INDEX(Target,2)*$A37-AG36*PlanStores)</f>
        <v>30</v>
      </c>
      <c r="AK37" s="105">
        <f>IF(OR($A37&gt;PlanStores,AH36&gt;=INDEX(Target,3)),-1000000000,INDEX(Target,3)*$A37-AH36*PlanStores)</f>
        <v>8</v>
      </c>
      <c r="AL37" s="82">
        <f>IF($C37="","",MATCH($C37,TierCodes,0))</f>
        <v>2</v>
      </c>
      <c r="AM37" s="82">
        <f>IF($C37="","",IF(OR(StreetChoice="Typical street for its size",INDEX(Cand,AL37)=0),"",MOD($D37-1,INDEX(Cand,AL37))+1))</f>
        <v>8</v>
      </c>
      <c r="AN37" s="82">
        <f>IF(AM37="","",MATCH($C37&amp;"|"&amp;AM37,Melbourne!$AA$58:$AA$135,0))</f>
        <v>15</v>
      </c>
      <c r="AO37" s="76">
        <f>IF($C37="","",Ramp1*$N37*ContribMargin-$P37-INDEX(LicPlan,AL37))</f>
        <v>177373.921247853</v>
      </c>
      <c r="AP37" s="76">
        <f>IF($C37="","",Ramp2*$N37*ContribMargin-$P37-INDEX(LicPlan,AL37))</f>
        <v>335434.549247853</v>
      </c>
      <c r="AR37" s="61">
        <f>IF($C37="","",MAX(Scale!$C$7,($D37+Scale!$C$8*($A37-$D37))^LOG(Scale!$C$6,2)))</f>
        <v>0.843333628688409</v>
      </c>
      <c r="AS37" s="61">
        <f>IF($C37="","",1-IF(IF(Deal="Commit to the full plan",PlanStores,$A37)&gt;=PBAt4,Scale!$C$12,IF(IF(Deal="Commit to the full plan",PlanStores,$A37)&gt;=PBAt3,Scale!$C$11,IF(IF(Deal="Commit to the full plan",PlanStores,$A37)&gt;=PBAt2,Scale!$C$10,IF(IF(Deal="Commit to the full plan",PlanStores,$A37)&gt;=PBAt1,Scale!$C$9,0)))))</f>
        <v>0.94</v>
      </c>
      <c r="AT37" s="61">
        <f>IF($C37="","",MAX(Scale!$D$7,($D37+Scale!$D$8*($A37-$D37))^LOG(Scale!$D$6,2)))</f>
        <v>0.7</v>
      </c>
      <c r="AU37" s="61">
        <f>IF($C37="","",1-IF(IF(Deal="Commit to the full plan",PlanStores,$A37)&gt;=PBAt4,Scale!$D$12,IF(IF(Deal="Commit to the full plan",PlanStores,$A37)&gt;=PBAt3,Scale!$D$11,IF(IF(Deal="Commit to the full plan",PlanStores,$A37)&gt;=PBAt2,Scale!$D$10,IF(IF(Deal="Commit to the full plan",PlanStores,$A37)&gt;=PBAt1,Scale!$D$9,0)))))</f>
        <v>0.9</v>
      </c>
      <c r="AV37" s="61">
        <f>IF($C37="","",MAX(Scale!$E$7,($D37+Scale!$E$8*($A37-$D37))^LOG(Scale!$E$6,2)))</f>
        <v>0.6</v>
      </c>
      <c r="AW37" s="61">
        <f>IF($C37="","",1-IF(IF(Deal="Commit to the full plan",PlanStores,$A37)&gt;=PBAt4,Scale!$E$12,IF(IF(Deal="Commit to the full plan",PlanStores,$A37)&gt;=PBAt3,Scale!$E$11,IF(IF(Deal="Commit to the full plan",PlanStores,$A37)&gt;=PBAt2,Scale!$E$10,IF(IF(Deal="Commit to the full plan",PlanStores,$A37)&gt;=PBAt1,Scale!$E$9,0)))))</f>
        <v>0.87</v>
      </c>
    </row>
    <row r="38">
      <c r="A38" s="110" t="n">
        <v>17</v>
      </c>
      <c r="B38" s="111">
        <f>IF($A38&gt;PlanStores,"",1+COUNTIF(CumOpenings,"&lt;"&amp;$A38))</f>
        <v>4</v>
      </c>
      <c r="C38" s="14" t="str">
        <f>IF($A38&gt;PlanStores,"",IF(AND($A38=1,FlagshipFirst="Yes",INDEX(Target,1)&gt;0),"SPLUS",IF(AND(AI38&gt;=AJ38,AI38&gt;=AK38),"SPLUS",IF(AJ38&gt;=AK38,"S","D"))))</f>
        <v>D</v>
      </c>
      <c r="D38" s="111">
        <f>IF($C38="","",IF($C38="SPLUS",AF38,IF($C38="S",AG38,AH38)))</f>
        <v>5</v>
      </c>
      <c r="E38" s="112">
        <f>IF($C38="","",$D38+LearnShared*($A38-$D38))</f>
        <v>11</v>
      </c>
      <c r="F38" s="85">
        <f>IF($C38="","",MAX(LearnFloor,$E38^LOG(LearnRate,2)))</f>
        <v>0.7</v>
      </c>
      <c r="G38" s="85">
        <f>IF($C38="","",1-IF(IF(Deal="Commit to the full plan",PlanStores,$A38)&gt;=PBAt4,PBDisc4,IF(IF(Deal="Commit to the full plan",PlanStores,$A38)&gt;=PBAt3,PBDisc3,IF(IF(Deal="Commit to the full plan",PlanStores,$A38)&gt;=PBAt2,PBDisc2,IF(IF(Deal="Commit to the full plan",PlanStores,$A38)&gt;=PBAt1,PBDisc1,0)))))</f>
        <v>0.9</v>
      </c>
      <c r="H38" s="39">
        <f>IF($C38="","",INDEX(BaseL,AL38)*$F38+INDEX(BaseV,AL38)*$G38+INDEX(BaseN,AL38))</f>
        <v>375318</v>
      </c>
      <c r="I38" s="39">
        <f>IF($C38="","",$H38*(1+BuildInflation)^($B38-1))</f>
        <v>410120.112186</v>
      </c>
      <c r="J38" s="40" t="str">
        <f>IF($C38="","",IF(AN38="",IF(INDEX(Cand,AL38)=0,"No street of this size","Typical "&amp;LOWER(INDEX(TierNames,AL38))&amp;" street"),INDEX(Melbourne!$B$58:$B$135,AN38)))</f>
        <v>New Quay</v>
      </c>
      <c r="K38" s="40" t="str">
        <f>IF(OR($C38="",AN38=""),"",INDEX(Melbourne!$C$58:$C$135,AN38))</f>
        <v>Destination Retail</v>
      </c>
      <c r="L38" s="46">
        <f>IF($C38="","",IF(AN38="",INDEX(TypicalF,AL38),INDEX(Melbourne!$E$58:$E$135,AN38)))</f>
        <v>1899550</v>
      </c>
      <c r="M38" s="86">
        <f>IF($C38="","",IF(AN38="",INDEX(TypicalQ,AL38),INDEX(Melbourne!$N$58:$N$135,AN38)))</f>
        <v>1.2</v>
      </c>
      <c r="N38" s="39">
        <f>IF($C38="","",MIN($L38*Capture*$M38*Conversion*Ticket,INDEX(CapacityPsf,AL38)*INDEX(Area,AL38)))</f>
        <v>1080000</v>
      </c>
      <c r="O38" s="39">
        <f>IF($C38="","",INDEX(Area,AL38)*RentPsf*($L38/Fref)^RentElasticity)</f>
        <v>59431.0986307482</v>
      </c>
      <c r="P38" s="39">
        <f>IF($C38="","",$O38+INDEX(RunOther,AL38))</f>
        <v>260389.527964082</v>
      </c>
      <c r="Q38" s="95">
        <f>IF($C38="","",$N38*ContribMargin-$P38-INDEX(LicPlan,AL38))</f>
        <v>306880.472035919</v>
      </c>
      <c r="R38" s="113">
        <f>IF($C38="","",IF(AND(AO38&gt;=$H38,AO38&gt;0),$H38/AO38,IF(AND(AO38+AP38&gt;=$H38,AP38&gt;0),1+($H38-AO38)/AP38,IF($Q38&gt;0,2+($H38-AO38-AP38)/$Q38,"Never"))))</f>
        <v>1.81021397197108</v>
      </c>
      <c r="S38" s="39">
        <f>IF($C38="","",StockWeeks/52*$N38*(1-GrossMargin))</f>
        <v>58153.8461538462</v>
      </c>
      <c r="U38" s="95">
        <f>IF(OR($C38="",U$21&lt;$B38),0,IF(U$21=$B38,OpenYearShare,1)*($N38*ContribMargin*IF(U$21=$B38,Ramp1,IF(U$21=$B38+1,Ramp2,1))-$P38-INDEX(LicByYear,AL38,U$21)))</f>
        <v>0</v>
      </c>
      <c r="V38" s="95">
        <f>IF(OR($C38="",V$21&lt;$B38),0,IF(V$21=$B38,OpenYearShare,1)*($N38*ContribMargin*IF(V$21=$B38,Ramp1,IF(V$21=$B38+1,Ramp2,1))-$P38-INDEX(LicByYear,AL38,V$21)))</f>
        <v>0</v>
      </c>
      <c r="W38" s="95">
        <f>IF(OR($C38="",W$21&lt;$B38),0,IF(W$21=$B38,OpenYearShare,1)*($N38*ContribMargin*IF(W$21=$B38,Ramp1,IF(W$21=$B38+1,Ramp2,1))-$P38-INDEX(LicByYear,AL38,W$21)))</f>
        <v>0</v>
      </c>
      <c r="X38" s="95">
        <f>IF(OR($C38="",X$21&lt;$B38),0,IF(X$21=$B38,OpenYearShare,1)*($N38*ContribMargin*IF(X$21=$B38,Ramp1,IF(X$21=$B38+1,Ramp2,1))-$P38-INDEX(LicByYear,AL38,X$21)))</f>
        <v>81890.2360179592</v>
      </c>
      <c r="Y38" s="95">
        <f>IF(OR($C38="",Y$21&lt;$B38),0,IF(Y$21=$B38,OpenYearShare,1)*($N38*ContribMargin*IF(Y$21=$B38,Ramp1,IF(Y$21=$B38+1,Ramp2,1))-$P38-INDEX(LicByYear,AL38,Y$21)))</f>
        <v>261088.472035919</v>
      </c>
      <c r="Z38" s="95">
        <f>IF(OR($C38="",Z$21&lt;$B38),0,IF(Z$21=$B38,OpenYearShare,1)*($N38*ContribMargin*IF(Z$21=$B38,Ramp1,IF(Z$21=$B38+1,Ramp2,1))-$P38-INDEX(LicByYear,AL38,Z$21)))</f>
        <v>306880.472035919</v>
      </c>
      <c r="AA38" s="95">
        <f>IF(OR($C38="",AA$21&lt;$B38),0,IF(AA$21=$B38,OpenYearShare,1)*($N38*ContribMargin*IF(AA$21=$B38,Ramp1,IF(AA$21=$B38+1,Ramp2,1))-$P38-INDEX(LicByYear,AL38,AA$21)))</f>
        <v>306880.472035919</v>
      </c>
      <c r="AB38" s="95">
        <f>IF(OR($C38="",AB$21&lt;$B38),0,IF(AB$21=$B38,OpenYearShare,1)*($N38*ContribMargin*IF(AB$21=$B38,Ramp1,IF(AB$21=$B38+1,Ramp2,1))-$P38-INDEX(LicByYear,AL38,AB$21)))</f>
        <v>306880.472035919</v>
      </c>
      <c r="AC38" s="95">
        <f>IF(OR($C38="",AC$21&lt;$B38),0,IF(AC$21=$B38,OpenYearShare,1)*($N38*ContribMargin*IF(AC$21=$B38,Ramp1,IF(AC$21=$B38+1,Ramp2,1))-$P38-INDEX(LicByYear,AL38,AC$21)))</f>
        <v>306880.472035919</v>
      </c>
      <c r="AD38" s="95">
        <f>IF(OR($C38="",AD$21&lt;$B38),0,IF(AD$21=$B38,OpenYearShare,1)*($N38*ContribMargin*IF(AD$21=$B38,Ramp1,IF(AD$21=$B38+1,Ramp2,1))-$P38-INDEX(LicByYear,AL38,AD$21)))</f>
        <v>306880.472035919</v>
      </c>
      <c r="AF38" s="82">
        <f>AF37+IF($C38="SPLUS",1,0)</f>
        <v>4</v>
      </c>
      <c r="AG38" s="82">
        <f>AG37+IF($C38="S",1,0)</f>
        <v>8</v>
      </c>
      <c r="AH38" s="82">
        <f>AH37+IF($C38="D",1,0)</f>
        <v>5</v>
      </c>
      <c r="AI38" s="105">
        <f>IF(OR($A38&gt;PlanStores,AF37&gt;=INDEX(Target,1)),-1000000000,INDEX(Target,1)*$A38-AF37*PlanStores)</f>
        <v>-1</v>
      </c>
      <c r="AJ38" s="105">
        <f>IF(OR($A38&gt;PlanStores,AG37&gt;=INDEX(Target,2)),-1000000000,INDEX(Target,2)*$A38-AG37*PlanStores)</f>
        <v>15</v>
      </c>
      <c r="AK38" s="105">
        <f>IF(OR($A38&gt;PlanStores,AH37&gt;=INDEX(Target,3)),-1000000000,INDEX(Target,3)*$A38-AH37*PlanStores)</f>
        <v>16</v>
      </c>
      <c r="AL38" s="82">
        <f>IF($C38="","",MATCH($C38,TierCodes,0))</f>
        <v>3</v>
      </c>
      <c r="AM38" s="82">
        <f>IF($C38="","",IF(OR(StreetChoice="Typical street for its size",INDEX(Cand,AL38)=0),"",MOD($D38-1,INDEX(Cand,AL38))+1))</f>
        <v>5</v>
      </c>
      <c r="AN38" s="82">
        <f>IF(AM38="","",MATCH($C38&amp;"|"&amp;AM38,Melbourne!$AA$58:$AA$135,0))</f>
        <v>52</v>
      </c>
      <c r="AO38" s="76">
        <f>IF($C38="","",Ramp1*$N38*ContribMargin-$P38-INDEX(LicPlan,AL38))</f>
        <v>163780.472035918</v>
      </c>
      <c r="AP38" s="76">
        <f>IF($C38="","",Ramp2*$N38*ContribMargin-$P38-INDEX(LicPlan,AL38))</f>
        <v>261088.472035919</v>
      </c>
      <c r="AR38" s="61">
        <f>IF($C38="","",MAX(Scale!$C$7,($D38+Scale!$C$8*($A38-$D38))^LOG(Scale!$C$6,2)))</f>
        <v>0.857375</v>
      </c>
      <c r="AS38" s="61">
        <f>IF($C38="","",1-IF(IF(Deal="Commit to the full plan",PlanStores,$A38)&gt;=PBAt4,Scale!$C$12,IF(IF(Deal="Commit to the full plan",PlanStores,$A38)&gt;=PBAt3,Scale!$C$11,IF(IF(Deal="Commit to the full plan",PlanStores,$A38)&gt;=PBAt2,Scale!$C$10,IF(IF(Deal="Commit to the full plan",PlanStores,$A38)&gt;=PBAt1,Scale!$C$9,0)))))</f>
        <v>0.94</v>
      </c>
      <c r="AT38" s="61">
        <f>IF($C38="","",MAX(Scale!$D$7,($D38+Scale!$D$8*($A38-$D38))^LOG(Scale!$D$6,2)))</f>
        <v>0.7</v>
      </c>
      <c r="AU38" s="61">
        <f>IF($C38="","",1-IF(IF(Deal="Commit to the full plan",PlanStores,$A38)&gt;=PBAt4,Scale!$D$12,IF(IF(Deal="Commit to the full plan",PlanStores,$A38)&gt;=PBAt3,Scale!$D$11,IF(IF(Deal="Commit to the full plan",PlanStores,$A38)&gt;=PBAt2,Scale!$D$10,IF(IF(Deal="Commit to the full plan",PlanStores,$A38)&gt;=PBAt1,Scale!$D$9,0)))))</f>
        <v>0.9</v>
      </c>
      <c r="AV38" s="61">
        <f>IF($C38="","",MAX(Scale!$E$7,($D38+Scale!$E$8*($A38-$D38))^LOG(Scale!$E$6,2)))</f>
        <v>0.6</v>
      </c>
      <c r="AW38" s="61">
        <f>IF($C38="","",1-IF(IF(Deal="Commit to the full plan",PlanStores,$A38)&gt;=PBAt4,Scale!$E$12,IF(IF(Deal="Commit to the full plan",PlanStores,$A38)&gt;=PBAt3,Scale!$E$11,IF(IF(Deal="Commit to the full plan",PlanStores,$A38)&gt;=PBAt2,Scale!$E$10,IF(IF(Deal="Commit to the full plan",PlanStores,$A38)&gt;=PBAt1,Scale!$E$9,0)))))</f>
        <v>0.87</v>
      </c>
    </row>
    <row r="39">
      <c r="A39" s="110" t="n">
        <v>18</v>
      </c>
      <c r="B39" s="111">
        <f>IF($A39&gt;PlanStores,"",1+COUNTIF(CumOpenings,"&lt;"&amp;$A39))</f>
        <v>4</v>
      </c>
      <c r="C39" s="14" t="str">
        <f>IF($A39&gt;PlanStores,"",IF(AND($A39=1,FlagshipFirst="Yes",INDEX(Target,1)&gt;0),"SPLUS",IF(AND(AI39&gt;=AJ39,AI39&gt;=AK39),"SPLUS",IF(AJ39&gt;=AK39,"S","D"))))</f>
        <v>S</v>
      </c>
      <c r="D39" s="111">
        <f>IF($C39="","",IF($C39="SPLUS",AF39,IF($C39="S",AG39,AH39)))</f>
        <v>9</v>
      </c>
      <c r="E39" s="112">
        <f>IF($C39="","",$D39+LearnShared*($A39-$D39))</f>
        <v>13.5</v>
      </c>
      <c r="F39" s="85">
        <f>IF($C39="","",MAX(LearnFloor,$E39^LOG(LearnRate,2)))</f>
        <v>0.7</v>
      </c>
      <c r="G39" s="85">
        <f>IF($C39="","",1-IF(IF(Deal="Commit to the full plan",PlanStores,$A39)&gt;=PBAt4,PBDisc4,IF(IF(Deal="Commit to the full plan",PlanStores,$A39)&gt;=PBAt3,PBDisc3,IF(IF(Deal="Commit to the full plan",PlanStores,$A39)&gt;=PBAt2,PBDisc2,IF(IF(Deal="Commit to the full plan",PlanStores,$A39)&gt;=PBAt1,PBDisc1,0)))))</f>
        <v>0.9</v>
      </c>
      <c r="H39" s="39">
        <f>IF($C39="","",INDEX(BaseL,AL39)*$F39+INDEX(BaseV,AL39)*$G39+INDEX(BaseN,AL39))</f>
        <v>661637.5</v>
      </c>
      <c r="I39" s="39">
        <f>IF($C39="","",$H39*(1+BuildInflation)^($B39-1))</f>
        <v>722989.1604625</v>
      </c>
      <c r="J39" s="40" t="str">
        <f>IF($C39="","",IF(AN39="",IF(INDEX(Cand,AL39)=0,"No street of this size","Typical "&amp;LOWER(INDEX(TierNames,AL39))&amp;" street"),INDEX(Melbourne!$B$58:$B$135,AN39)))</f>
        <v>Bourke St - Spencer St (North)</v>
      </c>
      <c r="K39" s="40" t="str">
        <f>IF(OR($C39="",AN39=""),"",INDEX(Melbourne!$C$58:$C$135,AN39))</f>
        <v>Commuter Corridor</v>
      </c>
      <c r="L39" s="46">
        <f>IF($C39="","",IF(AN39="",INDEX(TypicalF,AL39),INDEX(Melbourne!$E$58:$E$135,AN39)))</f>
        <v>5854191</v>
      </c>
      <c r="M39" s="86">
        <f>IF($C39="","",IF(AN39="",INDEX(TypicalQ,AL39),INDEX(Melbourne!$N$58:$N$135,AN39)))</f>
        <v>0.5</v>
      </c>
      <c r="N39" s="39">
        <f>IF($C39="","",MIN($L39*Capture*$M39*Conversion*Ticket,INDEX(CapacityPsf,AL39)*INDEX(Area,AL39)))</f>
        <v>1405005.84</v>
      </c>
      <c r="O39" s="39">
        <f>IF($C39="","",INDEX(Area,AL39)*RentPsf*($L39/Fref)^RentElasticity)</f>
        <v>202350.406122672</v>
      </c>
      <c r="P39" s="39">
        <f>IF($C39="","",$O39+INDEX(RunOther,AL39))</f>
        <v>506935.979456005</v>
      </c>
      <c r="Q39" s="95">
        <f>IF($C39="","",$N39*ContribMargin-$P39-INDEX(LicPlan,AL39))</f>
        <v>229167.115743995</v>
      </c>
      <c r="R39" s="113">
        <f>IF($C39="","",IF(AND(AO39&gt;=$H39,AO39&gt;0),$H39/AO39,IF(AND(AO39+AP39&gt;=$H39,AP39&gt;0),1+($H39-AO39)/AP39,IF($Q39&gt;0,2+($H39-AO39-AP39)/$Q39,"Never"))))</f>
        <v>3.95943815267823</v>
      </c>
      <c r="S39" s="39">
        <f>IF($C39="","",StockWeeks/52*$N39*(1-GrossMargin))</f>
        <v>75654.1606153846</v>
      </c>
      <c r="U39" s="95">
        <f>IF(OR($C39="",U$21&lt;$B39),0,IF(U$21=$B39,OpenYearShare,1)*($N39*ContribMargin*IF(U$21=$B39,Ramp1,IF(U$21=$B39+1,Ramp2,1))-$P39-INDEX(LicByYear,AL39,U$21)))</f>
        <v>0</v>
      </c>
      <c r="V39" s="95">
        <f>IF(OR($C39="",V$21&lt;$B39),0,IF(V$21=$B39,OpenYearShare,1)*($N39*ContribMargin*IF(V$21=$B39,Ramp1,IF(V$21=$B39+1,Ramp2,1))-$P39-INDEX(LicByYear,AL39,V$21)))</f>
        <v>0</v>
      </c>
      <c r="W39" s="95">
        <f>IF(OR($C39="",W$21&lt;$B39),0,IF(W$21=$B39,OpenYearShare,1)*($N39*ContribMargin*IF(W$21=$B39,Ramp1,IF(W$21=$B39+1,Ramp2,1))-$P39-INDEX(LicByYear,AL39,W$21)))</f>
        <v>0</v>
      </c>
      <c r="X39" s="95">
        <f>IF(OR($C39="",X$21&lt;$B39),0,IF(X$21=$B39,OpenYearShare,1)*($N39*ContribMargin*IF(X$21=$B39,Ramp1,IF(X$21=$B39+1,Ramp2,1))-$P39-INDEX(LicByYear,AL39,X$21)))</f>
        <v>21501.9209719973</v>
      </c>
      <c r="Y39" s="95">
        <f>IF(OR($C39="",Y$21&lt;$B39),0,IF(Y$21=$B39,OpenYearShare,1)*($N39*ContribMargin*IF(Y$21=$B39,Ramp1,IF(Y$21=$B39+1,Ramp2,1))-$P39-INDEX(LicByYear,AL39,Y$21)))</f>
        <v>169594.868127995</v>
      </c>
      <c r="Z39" s="95">
        <f>IF(OR($C39="",Z$21&lt;$B39),0,IF(Z$21=$B39,OpenYearShare,1)*($N39*ContribMargin*IF(Z$21=$B39,Ramp1,IF(Z$21=$B39+1,Ramp2,1))-$P39-INDEX(LicByYear,AL39,Z$21)))</f>
        <v>229167.115743995</v>
      </c>
      <c r="AA39" s="95">
        <f>IF(OR($C39="",AA$21&lt;$B39),0,IF(AA$21=$B39,OpenYearShare,1)*($N39*ContribMargin*IF(AA$21=$B39,Ramp1,IF(AA$21=$B39+1,Ramp2,1))-$P39-INDEX(LicByYear,AL39,AA$21)))</f>
        <v>229167.115743995</v>
      </c>
      <c r="AB39" s="95">
        <f>IF(OR($C39="",AB$21&lt;$B39),0,IF(AB$21=$B39,OpenYearShare,1)*($N39*ContribMargin*IF(AB$21=$B39,Ramp1,IF(AB$21=$B39+1,Ramp2,1))-$P39-INDEX(LicByYear,AL39,AB$21)))</f>
        <v>229167.115743995</v>
      </c>
      <c r="AC39" s="95">
        <f>IF(OR($C39="",AC$21&lt;$B39),0,IF(AC$21=$B39,OpenYearShare,1)*($N39*ContribMargin*IF(AC$21=$B39,Ramp1,IF(AC$21=$B39+1,Ramp2,1))-$P39-INDEX(LicByYear,AL39,AC$21)))</f>
        <v>229167.115743995</v>
      </c>
      <c r="AD39" s="95">
        <f>IF(OR($C39="",AD$21&lt;$B39),0,IF(AD$21=$B39,OpenYearShare,1)*($N39*ContribMargin*IF(AD$21=$B39,Ramp1,IF(AD$21=$B39+1,Ramp2,1))-$P39-INDEX(LicByYear,AL39,AD$21)))</f>
        <v>229167.115743995</v>
      </c>
      <c r="AF39" s="82">
        <f>AF38+IF($C39="SPLUS",1,0)</f>
        <v>4</v>
      </c>
      <c r="AG39" s="82">
        <f>AG38+IF($C39="S",1,0)</f>
        <v>9</v>
      </c>
      <c r="AH39" s="82">
        <f>AH38+IF($C39="D",1,0)</f>
        <v>5</v>
      </c>
      <c r="AI39" s="105">
        <f>IF(OR($A39&gt;PlanStores,AF38&gt;=INDEX(Target,1)),-1000000000,INDEX(Target,1)*$A39-AF38*PlanStores)</f>
        <v>6</v>
      </c>
      <c r="AJ39" s="105">
        <f>IF(OR($A39&gt;PlanStores,AG38&gt;=INDEX(Target,2)),-1000000000,INDEX(Target,2)*$A39-AG38*PlanStores)</f>
        <v>30</v>
      </c>
      <c r="AK39" s="105">
        <f>IF(OR($A39&gt;PlanStores,AH38&gt;=INDEX(Target,3)),-1000000000,INDEX(Target,3)*$A39-AH38*PlanStores)</f>
        <v>-6</v>
      </c>
      <c r="AL39" s="82">
        <f>IF($C39="","",MATCH($C39,TierCodes,0))</f>
        <v>2</v>
      </c>
      <c r="AM39" s="82">
        <f>IF($C39="","",IF(OR(StreetChoice="Typical street for its size",INDEX(Cand,AL39)=0),"",MOD($D39-1,INDEX(Cand,AL39))+1))</f>
        <v>9</v>
      </c>
      <c r="AN39" s="82">
        <f>IF(AM39="","",MATCH($C39&amp;"|"&amp;AM39,Melbourne!$AA$58:$AA$135,0))</f>
        <v>16</v>
      </c>
      <c r="AO39" s="76">
        <f>IF($C39="","",Ramp1*$N39*ContribMargin-$P39-INDEX(LicPlan,AL39))</f>
        <v>43003.8419439948</v>
      </c>
      <c r="AP39" s="76">
        <f>IF($C39="","",Ramp2*$N39*ContribMargin-$P39-INDEX(LicPlan,AL39))</f>
        <v>169594.868127995</v>
      </c>
      <c r="AR39" s="61">
        <f>IF($C39="","",MAX(Scale!$C$7,($D39+Scale!$C$8*($A39-$D39))^LOG(Scale!$C$6,2)))</f>
        <v>0.836015062405639</v>
      </c>
      <c r="AS39" s="61">
        <f>IF($C39="","",1-IF(IF(Deal="Commit to the full plan",PlanStores,$A39)&gt;=PBAt4,Scale!$C$12,IF(IF(Deal="Commit to the full plan",PlanStores,$A39)&gt;=PBAt3,Scale!$C$11,IF(IF(Deal="Commit to the full plan",PlanStores,$A39)&gt;=PBAt2,Scale!$C$10,IF(IF(Deal="Commit to the full plan",PlanStores,$A39)&gt;=PBAt1,Scale!$C$9,0)))))</f>
        <v>0.94</v>
      </c>
      <c r="AT39" s="61">
        <f>IF($C39="","",MAX(Scale!$D$7,($D39+Scale!$D$8*($A39-$D39))^LOG(Scale!$D$6,2)))</f>
        <v>0.7</v>
      </c>
      <c r="AU39" s="61">
        <f>IF($C39="","",1-IF(IF(Deal="Commit to the full plan",PlanStores,$A39)&gt;=PBAt4,Scale!$D$12,IF(IF(Deal="Commit to the full plan",PlanStores,$A39)&gt;=PBAt3,Scale!$D$11,IF(IF(Deal="Commit to the full plan",PlanStores,$A39)&gt;=PBAt2,Scale!$D$10,IF(IF(Deal="Commit to the full plan",PlanStores,$A39)&gt;=PBAt1,Scale!$D$9,0)))))</f>
        <v>0.9</v>
      </c>
      <c r="AV39" s="61">
        <f>IF($C39="","",MAX(Scale!$E$7,($D39+Scale!$E$8*($A39-$D39))^LOG(Scale!$E$6,2)))</f>
        <v>0.6</v>
      </c>
      <c r="AW39" s="61">
        <f>IF($C39="","",1-IF(IF(Deal="Commit to the full plan",PlanStores,$A39)&gt;=PBAt4,Scale!$E$12,IF(IF(Deal="Commit to the full plan",PlanStores,$A39)&gt;=PBAt3,Scale!$E$11,IF(IF(Deal="Commit to the full plan",PlanStores,$A39)&gt;=PBAt2,Scale!$E$10,IF(IF(Deal="Commit to the full plan",PlanStores,$A39)&gt;=PBAt1,Scale!$E$9,0)))))</f>
        <v>0.87</v>
      </c>
    </row>
    <row r="40">
      <c r="A40" s="110" t="n">
        <v>19</v>
      </c>
      <c r="B40" s="111">
        <f>IF($A40&gt;PlanStores,"",1+COUNTIF(CumOpenings,"&lt;"&amp;$A40))</f>
        <v>4</v>
      </c>
      <c r="C40" s="14" t="str">
        <f>IF($A40&gt;PlanStores,"",IF(AND($A40=1,FlagshipFirst="Yes",INDEX(Target,1)&gt;0),"SPLUS",IF(AND(AI40&gt;=AJ40,AI40&gt;=AK40),"SPLUS",IF(AJ40&gt;=AK40,"S","D"))))</f>
        <v>S</v>
      </c>
      <c r="D40" s="111">
        <f>IF($C40="","",IF($C40="SPLUS",AF40,IF($C40="S",AG40,AH40)))</f>
        <v>10</v>
      </c>
      <c r="E40" s="112">
        <f>IF($C40="","",$D40+LearnShared*($A40-$D40))</f>
        <v>14.5</v>
      </c>
      <c r="F40" s="85">
        <f>IF($C40="","",MAX(LearnFloor,$E40^LOG(LearnRate,2)))</f>
        <v>0.7</v>
      </c>
      <c r="G40" s="85">
        <f>IF($C40="","",1-IF(IF(Deal="Commit to the full plan",PlanStores,$A40)&gt;=PBAt4,PBDisc4,IF(IF(Deal="Commit to the full plan",PlanStores,$A40)&gt;=PBAt3,PBDisc3,IF(IF(Deal="Commit to the full plan",PlanStores,$A40)&gt;=PBAt2,PBDisc2,IF(IF(Deal="Commit to the full plan",PlanStores,$A40)&gt;=PBAt1,PBDisc1,0)))))</f>
        <v>0.9</v>
      </c>
      <c r="H40" s="39">
        <f>IF($C40="","",INDEX(BaseL,AL40)*$F40+INDEX(BaseV,AL40)*$G40+INDEX(BaseN,AL40))</f>
        <v>661637.5</v>
      </c>
      <c r="I40" s="39">
        <f>IF($C40="","",$H40*(1+BuildInflation)^($B40-1))</f>
        <v>722989.1604625</v>
      </c>
      <c r="J40" s="40" t="str">
        <f>IF($C40="","",IF(AN40="",IF(INDEX(Cand,AL40)=0,"No street of this size","Typical "&amp;LOWER(INDEX(TierNames,AL40))&amp;" street"),INDEX(Melbourne!$B$58:$B$135,AN40)))</f>
        <v>RMIT Building 14</v>
      </c>
      <c r="K40" s="40" t="str">
        <f>IF(OR($C40="",AN40=""),"",INDEX(Melbourne!$C$58:$C$135,AN40))</f>
        <v>Office / Weekday Core</v>
      </c>
      <c r="L40" s="46">
        <f>IF($C40="","",IF(AN40="",INDEX(TypicalF,AL40),INDEX(Melbourne!$E$58:$E$135,AN40)))</f>
        <v>4655085</v>
      </c>
      <c r="M40" s="86">
        <f>IF($C40="","",IF(AN40="",INDEX(TypicalQ,AL40),INDEX(Melbourne!$N$58:$N$135,AN40)))</f>
        <v>0.7</v>
      </c>
      <c r="N40" s="39">
        <f>IF($C40="","",MIN($L40*Capture*$M40*Conversion*Ticket,INDEX(CapacityPsf,AL40)*INDEX(Area,AL40)))</f>
        <v>1564108.56</v>
      </c>
      <c r="O40" s="39">
        <f>IF($C40="","",INDEX(Area,AL40)*RentPsf*($L40/Fref)^RentElasticity)</f>
        <v>178384.650005501</v>
      </c>
      <c r="P40" s="39">
        <f>IF($C40="","",$O40+INDEX(RunOther,AL40))</f>
        <v>482970.223338835</v>
      </c>
      <c r="Q40" s="95">
        <f>IF($C40="","",$N40*ContribMargin-$P40-INDEX(LicPlan,AL40))</f>
        <v>337457.313461166</v>
      </c>
      <c r="R40" s="113">
        <f>IF($C40="","",IF(AND(AO40&gt;=$H40,AO40&gt;0),$H40/AO40,IF(AND(AO40+AP40&gt;=$H40,AP40&gt;0),1+($H40-AO40)/AP40,IF($Q40&gt;0,2+($H40-AO40-AP40)/$Q40,"Never"))))</f>
        <v>2.77131373314161</v>
      </c>
      <c r="S40" s="39">
        <f>IF($C40="","",StockWeeks/52*$N40*(1-GrossMargin))</f>
        <v>84221.2301538462</v>
      </c>
      <c r="U40" s="95">
        <f>IF(OR($C40="",U$21&lt;$B40),0,IF(U$21=$B40,OpenYearShare,1)*($N40*ContribMargin*IF(U$21=$B40,Ramp1,IF(U$21=$B40+1,Ramp2,1))-$P40-INDEX(LicByYear,AL40,U$21)))</f>
        <v>0</v>
      </c>
      <c r="V40" s="95">
        <f>IF(OR($C40="",V$21&lt;$B40),0,IF(V$21=$B40,OpenYearShare,1)*($N40*ContribMargin*IF(V$21=$B40,Ramp1,IF(V$21=$B40+1,Ramp2,1))-$P40-INDEX(LicByYear,AL40,V$21)))</f>
        <v>0</v>
      </c>
      <c r="W40" s="95">
        <f>IF(OR($C40="",W$21&lt;$B40),0,IF(W$21=$B40,OpenYearShare,1)*($N40*ContribMargin*IF(W$21=$B40,Ramp1,IF(W$21=$B40+1,Ramp2,1))-$P40-INDEX(LicByYear,AL40,W$21)))</f>
        <v>0</v>
      </c>
      <c r="X40" s="95">
        <f>IF(OR($C40="",X$21&lt;$B40),0,IF(X$21=$B40,OpenYearShare,1)*($N40*ContribMargin*IF(X$21=$B40,Ramp1,IF(X$21=$B40+1,Ramp2,1))-$P40-INDEX(LicByYear,AL40,X$21)))</f>
        <v>65106.4646305828</v>
      </c>
      <c r="Y40" s="95">
        <f>IF(OR($C40="",Y$21&lt;$B40),0,IF(Y$21=$B40,OpenYearShare,1)*($N40*ContribMargin*IF(Y$21=$B40,Ramp1,IF(Y$21=$B40+1,Ramp2,1))-$P40-INDEX(LicByYear,AL40,Y$21)))</f>
        <v>271139.110517166</v>
      </c>
      <c r="Z40" s="95">
        <f>IF(OR($C40="",Z$21&lt;$B40),0,IF(Z$21=$B40,OpenYearShare,1)*($N40*ContribMargin*IF(Z$21=$B40,Ramp1,IF(Z$21=$B40+1,Ramp2,1))-$P40-INDEX(LicByYear,AL40,Z$21)))</f>
        <v>337457.313461166</v>
      </c>
      <c r="AA40" s="95">
        <f>IF(OR($C40="",AA$21&lt;$B40),0,IF(AA$21=$B40,OpenYearShare,1)*($N40*ContribMargin*IF(AA$21=$B40,Ramp1,IF(AA$21=$B40+1,Ramp2,1))-$P40-INDEX(LicByYear,AL40,AA$21)))</f>
        <v>337457.313461166</v>
      </c>
      <c r="AB40" s="95">
        <f>IF(OR($C40="",AB$21&lt;$B40),0,IF(AB$21=$B40,OpenYearShare,1)*($N40*ContribMargin*IF(AB$21=$B40,Ramp1,IF(AB$21=$B40+1,Ramp2,1))-$P40-INDEX(LicByYear,AL40,AB$21)))</f>
        <v>337457.313461166</v>
      </c>
      <c r="AC40" s="95">
        <f>IF(OR($C40="",AC$21&lt;$B40),0,IF(AC$21=$B40,OpenYearShare,1)*($N40*ContribMargin*IF(AC$21=$B40,Ramp1,IF(AC$21=$B40+1,Ramp2,1))-$P40-INDEX(LicByYear,AL40,AC$21)))</f>
        <v>337457.313461166</v>
      </c>
      <c r="AD40" s="95">
        <f>IF(OR($C40="",AD$21&lt;$B40),0,IF(AD$21=$B40,OpenYearShare,1)*($N40*ContribMargin*IF(AD$21=$B40,Ramp1,IF(AD$21=$B40+1,Ramp2,1))-$P40-INDEX(LicByYear,AL40,AD$21)))</f>
        <v>337457.313461166</v>
      </c>
      <c r="AF40" s="82">
        <f>AF39+IF($C40="SPLUS",1,0)</f>
        <v>4</v>
      </c>
      <c r="AG40" s="82">
        <f>AG39+IF($C40="S",1,0)</f>
        <v>10</v>
      </c>
      <c r="AH40" s="82">
        <f>AH39+IF($C40="D",1,0)</f>
        <v>5</v>
      </c>
      <c r="AI40" s="105">
        <f>IF(OR($A40&gt;PlanStores,AF39&gt;=INDEX(Target,1)),-1000000000,INDEX(Target,1)*$A40-AF39*PlanStores)</f>
        <v>13</v>
      </c>
      <c r="AJ40" s="105">
        <f>IF(OR($A40&gt;PlanStores,AG39&gt;=INDEX(Target,2)),-1000000000,INDEX(Target,2)*$A40-AG39*PlanStores)</f>
        <v>15</v>
      </c>
      <c r="AK40" s="105">
        <f>IF(OR($A40&gt;PlanStores,AH39&gt;=INDEX(Target,3)),-1000000000,INDEX(Target,3)*$A40-AH39*PlanStores)</f>
        <v>2</v>
      </c>
      <c r="AL40" s="82">
        <f>IF($C40="","",MATCH($C40,TierCodes,0))</f>
        <v>2</v>
      </c>
      <c r="AM40" s="82">
        <f>IF($C40="","",IF(OR(StreetChoice="Typical street for its size",INDEX(Cand,AL40)=0),"",MOD($D40-1,INDEX(Cand,AL40))+1))</f>
        <v>10</v>
      </c>
      <c r="AN40" s="82">
        <f>IF(AM40="","",MATCH($C40&amp;"|"&amp;AM40,Melbourne!$AA$58:$AA$135,0))</f>
        <v>22</v>
      </c>
      <c r="AO40" s="76">
        <f>IF($C40="","",Ramp1*$N40*ContribMargin-$P40-INDEX(LicPlan,AL40))</f>
        <v>130212.929261166</v>
      </c>
      <c r="AP40" s="76">
        <f>IF($C40="","",Ramp2*$N40*ContribMargin-$P40-INDEX(LicPlan,AL40))</f>
        <v>271139.110517166</v>
      </c>
      <c r="AR40" s="61">
        <f>IF($C40="","",MAX(Scale!$C$7,($D40+Scale!$C$8*($A40-$D40))^LOG(Scale!$C$6,2)))</f>
        <v>0.830763288440722</v>
      </c>
      <c r="AS40" s="61">
        <f>IF($C40="","",1-IF(IF(Deal="Commit to the full plan",PlanStores,$A40)&gt;=PBAt4,Scale!$C$12,IF(IF(Deal="Commit to the full plan",PlanStores,$A40)&gt;=PBAt3,Scale!$C$11,IF(IF(Deal="Commit to the full plan",PlanStores,$A40)&gt;=PBAt2,Scale!$C$10,IF(IF(Deal="Commit to the full plan",PlanStores,$A40)&gt;=PBAt1,Scale!$C$9,0)))))</f>
        <v>0.94</v>
      </c>
      <c r="AT40" s="61">
        <f>IF($C40="","",MAX(Scale!$D$7,($D40+Scale!$D$8*($A40-$D40))^LOG(Scale!$D$6,2)))</f>
        <v>0.7</v>
      </c>
      <c r="AU40" s="61">
        <f>IF($C40="","",1-IF(IF(Deal="Commit to the full plan",PlanStores,$A40)&gt;=PBAt4,Scale!$D$12,IF(IF(Deal="Commit to the full plan",PlanStores,$A40)&gt;=PBAt3,Scale!$D$11,IF(IF(Deal="Commit to the full plan",PlanStores,$A40)&gt;=PBAt2,Scale!$D$10,IF(IF(Deal="Commit to the full plan",PlanStores,$A40)&gt;=PBAt1,Scale!$D$9,0)))))</f>
        <v>0.9</v>
      </c>
      <c r="AV40" s="61">
        <f>IF($C40="","",MAX(Scale!$E$7,($D40+Scale!$E$8*($A40-$D40))^LOG(Scale!$E$6,2)))</f>
        <v>0.6</v>
      </c>
      <c r="AW40" s="61">
        <f>IF($C40="","",1-IF(IF(Deal="Commit to the full plan",PlanStores,$A40)&gt;=PBAt4,Scale!$E$12,IF(IF(Deal="Commit to the full plan",PlanStores,$A40)&gt;=PBAt3,Scale!$E$11,IF(IF(Deal="Commit to the full plan",PlanStores,$A40)&gt;=PBAt2,Scale!$E$10,IF(IF(Deal="Commit to the full plan",PlanStores,$A40)&gt;=PBAt1,Scale!$E$9,0)))))</f>
        <v>0.87</v>
      </c>
    </row>
    <row r="41">
      <c r="A41" s="110" t="n">
        <v>20</v>
      </c>
      <c r="B41" s="111">
        <f>IF($A41&gt;PlanStores,"",1+COUNTIF(CumOpenings,"&lt;"&amp;$A41))</f>
        <v>4</v>
      </c>
      <c r="C41" s="14" t="str">
        <f>IF($A41&gt;PlanStores,"",IF(AND($A41=1,FlagshipFirst="Yes",INDEX(Target,1)&gt;0),"SPLUS",IF(AND(AI41&gt;=AJ41,AI41&gt;=AK41),"SPLUS",IF(AJ41&gt;=AK41,"S","D"))))</f>
        <v>SPLUS</v>
      </c>
      <c r="D41" s="111">
        <f>IF($C41="","",IF($C41="SPLUS",AF41,IF($C41="S",AG41,AH41)))</f>
        <v>5</v>
      </c>
      <c r="E41" s="112">
        <f>IF($C41="","",$D41+LearnShared*($A41-$D41))</f>
        <v>12.5</v>
      </c>
      <c r="F41" s="85">
        <f>IF($C41="","",MAX(LearnFloor,$E41^LOG(LearnRate,2)))</f>
        <v>0.7</v>
      </c>
      <c r="G41" s="85">
        <f>IF($C41="","",1-IF(IF(Deal="Commit to the full plan",PlanStores,$A41)&gt;=PBAt4,PBDisc4,IF(IF(Deal="Commit to the full plan",PlanStores,$A41)&gt;=PBAt3,PBDisc3,IF(IF(Deal="Commit to the full plan",PlanStores,$A41)&gt;=PBAt2,PBDisc2,IF(IF(Deal="Commit to the full plan",PlanStores,$A41)&gt;=PBAt1,PBDisc1,0)))))</f>
        <v>0.9</v>
      </c>
      <c r="H41" s="39">
        <f>IF($C41="","",INDEX(BaseL,AL41)*$F41+INDEX(BaseV,AL41)*$G41+INDEX(BaseN,AL41))</f>
        <v>1175651</v>
      </c>
      <c r="I41" s="39">
        <f>IF($C41="","",$H41*(1+BuildInflation)^($B41-1))</f>
        <v>1284665.590277</v>
      </c>
      <c r="J41" s="40" t="str">
        <f>IF($C41="","",IF(AN41="",IF(INDEX(Cand,AL41)=0,"No street of this size","Typical "&amp;LOWER(INDEX(TierNames,AL41))&amp;" street"),INDEX(Melbourne!$B$58:$B$135,AN41)))</f>
        <v>Princes Bridge</v>
      </c>
      <c r="K41" s="40" t="str">
        <f>IF(OR($C41="",AN41=""),"",INDEX(Melbourne!$C$58:$C$135,AN41))</f>
        <v>Destination Retail</v>
      </c>
      <c r="L41" s="46">
        <f>IF($C41="","",IF(AN41="",INDEX(TypicalF,AL41),INDEX(Melbourne!$E$58:$E$135,AN41)))</f>
        <v>9573477</v>
      </c>
      <c r="M41" s="86">
        <f>IF($C41="","",IF(AN41="",INDEX(TypicalQ,AL41),INDEX(Melbourne!$N$58:$N$135,AN41)))</f>
        <v>1.2</v>
      </c>
      <c r="N41" s="39">
        <f>IF($C41="","",MIN($L41*Capture*$M41*Conversion*Ticket,INDEX(CapacityPsf,AL41)*INDEX(Area,AL41)))</f>
        <v>5440000</v>
      </c>
      <c r="O41" s="39">
        <f>IF($C41="","",INDEX(Area,AL41)*RentPsf*($L41/Fref)^RentElasticity)</f>
        <v>546487.961006967</v>
      </c>
      <c r="P41" s="39">
        <f>IF($C41="","",$O41+INDEX(RunOther,AL41))</f>
        <v>1044781.70767363</v>
      </c>
      <c r="Q41" s="95">
        <f>IF($C41="","",$N41*ContribMargin-$P41-INDEX(LicPlan,AL41))</f>
        <v>1825593.29232637</v>
      </c>
      <c r="R41" s="113">
        <f>IF($C41="","",IF(AND(AO41&gt;=$H41,AO41&gt;0),$H41/AO41,IF(AND(AO41+AP41&gt;=$H41,AP41&gt;0),1+($H41-AO41)/AP41,IF($Q41&gt;0,2+($H41-AO41-AP41)/$Q41,"Never"))))</f>
        <v>1.04442664173353</v>
      </c>
      <c r="S41" s="39">
        <f>IF($C41="","",StockWeeks/52*$N41*(1-GrossMargin))</f>
        <v>292923.076923077</v>
      </c>
      <c r="U41" s="95">
        <f>IF(OR($C41="",U$21&lt;$B41),0,IF(U$21=$B41,OpenYearShare,1)*($N41*ContribMargin*IF(U$21=$B41,Ramp1,IF(U$21=$B41+1,Ramp2,1))-$P41-INDEX(LicByYear,AL41,U$21)))</f>
        <v>0</v>
      </c>
      <c r="V41" s="95">
        <f>IF(OR($C41="",V$21&lt;$B41),0,IF(V$21=$B41,OpenYearShare,1)*($N41*ContribMargin*IF(V$21=$B41,Ramp1,IF(V$21=$B41+1,Ramp2,1))-$P41-INDEX(LicByYear,AL41,V$21)))</f>
        <v>0</v>
      </c>
      <c r="W41" s="95">
        <f>IF(OR($C41="",W$21&lt;$B41),0,IF(W$21=$B41,OpenYearShare,1)*($N41*ContribMargin*IF(W$21=$B41,Ramp1,IF(W$21=$B41+1,Ramp2,1))-$P41-INDEX(LicByYear,AL41,W$21)))</f>
        <v>0</v>
      </c>
      <c r="X41" s="95">
        <f>IF(OR($C41="",X$21&lt;$B41),0,IF(X$21=$B41,OpenYearShare,1)*($N41*ContribMargin*IF(X$21=$B41,Ramp1,IF(X$21=$B41+1,Ramp2,1))-$P41-INDEX(LicByYear,AL41,X$21)))</f>
        <v>552396.646163183</v>
      </c>
      <c r="Y41" s="95">
        <f>IF(OR($C41="",Y$21&lt;$B41),0,IF(Y$21=$B41,OpenYearShare,1)*($N41*ContribMargin*IF(Y$21=$B41,Ramp1,IF(Y$21=$B41+1,Ramp2,1))-$P41-INDEX(LicByYear,AL41,Y$21)))</f>
        <v>1594937.29232637</v>
      </c>
      <c r="Z41" s="95">
        <f>IF(OR($C41="",Z$21&lt;$B41),0,IF(Z$21=$B41,OpenYearShare,1)*($N41*ContribMargin*IF(Z$21=$B41,Ramp1,IF(Z$21=$B41+1,Ramp2,1))-$P41-INDEX(LicByYear,AL41,Z$21)))</f>
        <v>1825593.29232637</v>
      </c>
      <c r="AA41" s="95">
        <f>IF(OR($C41="",AA$21&lt;$B41),0,IF(AA$21=$B41,OpenYearShare,1)*($N41*ContribMargin*IF(AA$21=$B41,Ramp1,IF(AA$21=$B41+1,Ramp2,1))-$P41-INDEX(LicByYear,AL41,AA$21)))</f>
        <v>1825593.29232637</v>
      </c>
      <c r="AB41" s="95">
        <f>IF(OR($C41="",AB$21&lt;$B41),0,IF(AB$21=$B41,OpenYearShare,1)*($N41*ContribMargin*IF(AB$21=$B41,Ramp1,IF(AB$21=$B41+1,Ramp2,1))-$P41-INDEX(LicByYear,AL41,AB$21)))</f>
        <v>1825593.29232637</v>
      </c>
      <c r="AC41" s="95">
        <f>IF(OR($C41="",AC$21&lt;$B41),0,IF(AC$21=$B41,OpenYearShare,1)*($N41*ContribMargin*IF(AC$21=$B41,Ramp1,IF(AC$21=$B41+1,Ramp2,1))-$P41-INDEX(LicByYear,AL41,AC$21)))</f>
        <v>1825593.29232637</v>
      </c>
      <c r="AD41" s="95">
        <f>IF(OR($C41="",AD$21&lt;$B41),0,IF(AD$21=$B41,OpenYearShare,1)*($N41*ContribMargin*IF(AD$21=$B41,Ramp1,IF(AD$21=$B41+1,Ramp2,1))-$P41-INDEX(LicByYear,AL41,AD$21)))</f>
        <v>1825593.29232637</v>
      </c>
      <c r="AF41" s="82">
        <f>AF40+IF($C41="SPLUS",1,0)</f>
        <v>5</v>
      </c>
      <c r="AG41" s="82">
        <f>AG40+IF($C41="S",1,0)</f>
        <v>10</v>
      </c>
      <c r="AH41" s="82">
        <f>AH40+IF($C41="D",1,0)</f>
        <v>5</v>
      </c>
      <c r="AI41" s="105">
        <f>IF(OR($A41&gt;PlanStores,AF40&gt;=INDEX(Target,1)),-1000000000,INDEX(Target,1)*$A41-AF40*PlanStores)</f>
        <v>20</v>
      </c>
      <c r="AJ41" s="105">
        <f>IF(OR($A41&gt;PlanStores,AG40&gt;=INDEX(Target,2)),-1000000000,INDEX(Target,2)*$A41-AG40*PlanStores)</f>
        <v>0</v>
      </c>
      <c r="AK41" s="105">
        <f>IF(OR($A41&gt;PlanStores,AH40&gt;=INDEX(Target,3)),-1000000000,INDEX(Target,3)*$A41-AH40*PlanStores)</f>
        <v>10</v>
      </c>
      <c r="AL41" s="82">
        <f>IF($C41="","",MATCH($C41,TierCodes,0))</f>
        <v>1</v>
      </c>
      <c r="AM41" s="82">
        <f>IF($C41="","",IF(OR(StreetChoice="Typical street for its size",INDEX(Cand,AL41)=0),"",MOD($D41-1,INDEX(Cand,AL41))+1))</f>
        <v>5</v>
      </c>
      <c r="AN41" s="82">
        <f>IF(AM41="","",MATCH($C41&amp;"|"&amp;AM41,Melbourne!$AA$58:$AA$135,0))</f>
        <v>7</v>
      </c>
      <c r="AO41" s="76">
        <f>IF($C41="","",Ramp1*$N41*ContribMargin-$P41-INDEX(LicPlan,AL41))</f>
        <v>1104793.29232637</v>
      </c>
      <c r="AP41" s="76">
        <f>IF($C41="","",Ramp2*$N41*ContribMargin-$P41-INDEX(LicPlan,AL41))</f>
        <v>1594937.29232637</v>
      </c>
      <c r="AR41" s="61">
        <f>IF($C41="","",MAX(Scale!$C$7,($D41+Scale!$C$8*($A41-$D41))^LOG(Scale!$C$6,2)))</f>
        <v>0.851708254567337</v>
      </c>
      <c r="AS41" s="61">
        <f>IF($C41="","",1-IF(IF(Deal="Commit to the full plan",PlanStores,$A41)&gt;=PBAt4,Scale!$C$12,IF(IF(Deal="Commit to the full plan",PlanStores,$A41)&gt;=PBAt3,Scale!$C$11,IF(IF(Deal="Commit to the full plan",PlanStores,$A41)&gt;=PBAt2,Scale!$C$10,IF(IF(Deal="Commit to the full plan",PlanStores,$A41)&gt;=PBAt1,Scale!$C$9,0)))))</f>
        <v>0.94</v>
      </c>
      <c r="AT41" s="61">
        <f>IF($C41="","",MAX(Scale!$D$7,($D41+Scale!$D$8*($A41-$D41))^LOG(Scale!$D$6,2)))</f>
        <v>0.7</v>
      </c>
      <c r="AU41" s="61">
        <f>IF($C41="","",1-IF(IF(Deal="Commit to the full plan",PlanStores,$A41)&gt;=PBAt4,Scale!$D$12,IF(IF(Deal="Commit to the full plan",PlanStores,$A41)&gt;=PBAt3,Scale!$D$11,IF(IF(Deal="Commit to the full plan",PlanStores,$A41)&gt;=PBAt2,Scale!$D$10,IF(IF(Deal="Commit to the full plan",PlanStores,$A41)&gt;=PBAt1,Scale!$D$9,0)))))</f>
        <v>0.9</v>
      </c>
      <c r="AV41" s="61">
        <f>IF($C41="","",MAX(Scale!$E$7,($D41+Scale!$E$8*($A41-$D41))^LOG(Scale!$E$6,2)))</f>
        <v>0.6</v>
      </c>
      <c r="AW41" s="61">
        <f>IF($C41="","",1-IF(IF(Deal="Commit to the full plan",PlanStores,$A41)&gt;=PBAt4,Scale!$E$12,IF(IF(Deal="Commit to the full plan",PlanStores,$A41)&gt;=PBAt3,Scale!$E$11,IF(IF(Deal="Commit to the full plan",PlanStores,$A41)&gt;=PBAt2,Scale!$E$10,IF(IF(Deal="Commit to the full plan",PlanStores,$A41)&gt;=PBAt1,Scale!$E$9,0)))))</f>
        <v>0.87</v>
      </c>
    </row>
    <row r="42">
      <c r="A42" s="110" t="n">
        <v>21</v>
      </c>
      <c r="B42" s="111">
        <f>IF($A42&gt;PlanStores,"",1+COUNTIF(CumOpenings,"&lt;"&amp;$A42))</f>
        <v>5</v>
      </c>
      <c r="C42" s="14" t="str">
        <f>IF($A42&gt;PlanStores,"",IF(AND($A42=1,FlagshipFirst="Yes",INDEX(Target,1)&gt;0),"SPLUS",IF(AND(AI42&gt;=AJ42,AI42&gt;=AK42),"SPLUS",IF(AJ42&gt;=AK42,"S","D"))))</f>
        <v>D</v>
      </c>
      <c r="D42" s="111">
        <f>IF($C42="","",IF($C42="SPLUS",AF42,IF($C42="S",AG42,AH42)))</f>
        <v>6</v>
      </c>
      <c r="E42" s="112">
        <f>IF($C42="","",$D42+LearnShared*($A42-$D42))</f>
        <v>13.5</v>
      </c>
      <c r="F42" s="85">
        <f>IF($C42="","",MAX(LearnFloor,$E42^LOG(LearnRate,2)))</f>
        <v>0.7</v>
      </c>
      <c r="G42" s="85">
        <f>IF($C42="","",1-IF(IF(Deal="Commit to the full plan",PlanStores,$A42)&gt;=PBAt4,PBDisc4,IF(IF(Deal="Commit to the full plan",PlanStores,$A42)&gt;=PBAt3,PBDisc3,IF(IF(Deal="Commit to the full plan",PlanStores,$A42)&gt;=PBAt2,PBDisc2,IF(IF(Deal="Commit to the full plan",PlanStores,$A42)&gt;=PBAt1,PBDisc1,0)))))</f>
        <v>0.9</v>
      </c>
      <c r="H42" s="39">
        <f>IF($C42="","",INDEX(BaseL,AL42)*$F42+INDEX(BaseV,AL42)*$G42+INDEX(BaseN,AL42))</f>
        <v>375318</v>
      </c>
      <c r="I42" s="39">
        <f>IF($C42="","",$H42*(1+BuildInflation)^($B42-1))</f>
        <v>422423.71555158</v>
      </c>
      <c r="J42" s="40" t="str">
        <f>IF($C42="","",IF(AN42="",IF(INDEX(Cand,AL42)=0,"No street of this size","Typical "&amp;LOWER(INDEX(TierNames,AL42))&amp;" street"),INDEX(Melbourne!$B$58:$B$135,AN42)))</f>
        <v>Lygon St (West)</v>
      </c>
      <c r="K42" s="40" t="str">
        <f>IF(OR($C42="",AN42=""),"",INDEX(Melbourne!$C$58:$C$135,AN42))</f>
        <v>Evening / Entertainment</v>
      </c>
      <c r="L42" s="46">
        <f>IF($C42="","",IF(AN42="",INDEX(TypicalF,AL42),INDEX(Melbourne!$E$58:$E$135,AN42)))</f>
        <v>1837186</v>
      </c>
      <c r="M42" s="86">
        <f>IF($C42="","",IF(AN42="",INDEX(TypicalQ,AL42),INDEX(Melbourne!$N$58:$N$135,AN42)))</f>
        <v>1.1</v>
      </c>
      <c r="N42" s="39">
        <f>IF($C42="","",MIN($L42*Capture*$M42*Conversion*Ticket,INDEX(CapacityPsf,AL42)*INDEX(Area,AL42)))</f>
        <v>970034.208</v>
      </c>
      <c r="O42" s="39">
        <f>IF($C42="","",INDEX(Area,AL42)*RentPsf*($L42/Fref)^RentElasticity)</f>
        <v>58349.8947967404</v>
      </c>
      <c r="P42" s="39">
        <f>IF($C42="","",$O42+INDEX(RunOther,AL42))</f>
        <v>259308.324130074</v>
      </c>
      <c r="Q42" s="95">
        <f>IF($C42="","",$N42*ContribMargin-$P42-INDEX(LicPlan,AL42))</f>
        <v>249679.806109926</v>
      </c>
      <c r="R42" s="113">
        <f>IF($C42="","",IF(AND(AO42&gt;=$H42,AO42&gt;0),$H42/AO42,IF(AND(AO42+AP42&gt;=$H42,AP42&gt;0),1+($H42-AO42)/AP42,IF($Q42&gt;0,2+($H42-AO42-AP42)/$Q42,"Never"))))</f>
        <v>2.18270348519601</v>
      </c>
      <c r="S42" s="39">
        <f>IF($C42="","",StockWeeks/52*$N42*(1-GrossMargin))</f>
        <v>52232.6112</v>
      </c>
      <c r="U42" s="95">
        <f>IF(OR($C42="",U$21&lt;$B42),0,IF(U$21=$B42,OpenYearShare,1)*($N42*ContribMargin*IF(U$21=$B42,Ramp1,IF(U$21=$B42+1,Ramp2,1))-$P42-INDEX(LicByYear,AL42,U$21)))</f>
        <v>0</v>
      </c>
      <c r="V42" s="95">
        <f>IF(OR($C42="",V$21&lt;$B42),0,IF(V$21=$B42,OpenYearShare,1)*($N42*ContribMargin*IF(V$21=$B42,Ramp1,IF(V$21=$B42+1,Ramp2,1))-$P42-INDEX(LicByYear,AL42,V$21)))</f>
        <v>0</v>
      </c>
      <c r="W42" s="95">
        <f>IF(OR($C42="",W$21&lt;$B42),0,IF(W$21=$B42,OpenYearShare,1)*($N42*ContribMargin*IF(W$21=$B42,Ramp1,IF(W$21=$B42+1,Ramp2,1))-$P42-INDEX(LicByYear,AL42,W$21)))</f>
        <v>0</v>
      </c>
      <c r="X42" s="95">
        <f>IF(OR($C42="",X$21&lt;$B42),0,IF(X$21=$B42,OpenYearShare,1)*($N42*ContribMargin*IF(X$21=$B42,Ramp1,IF(X$21=$B42+1,Ramp2,1))-$P42-INDEX(LicByYear,AL42,X$21)))</f>
        <v>0</v>
      </c>
      <c r="Y42" s="95">
        <f>IF(OR($C42="",Y$21&lt;$B42),0,IF(Y$21=$B42,OpenYearShare,1)*($N42*ContribMargin*IF(Y$21=$B42,Ramp1,IF(Y$21=$B42+1,Ramp2,1))-$P42-INDEX(LicByYear,AL42,Y$21)))</f>
        <v>60575.1367749632</v>
      </c>
      <c r="Z42" s="95">
        <f>IF(OR($C42="",Z$21&lt;$B42),0,IF(Z$21=$B42,OpenYearShare,1)*($N42*ContribMargin*IF(Z$21=$B42,Ramp1,IF(Z$21=$B42+1,Ramp2,1))-$P42-INDEX(LicByYear,AL42,Z$21)))</f>
        <v>208550.355690726</v>
      </c>
      <c r="AA42" s="95">
        <f>IF(OR($C42="",AA$21&lt;$B42),0,IF(AA$21=$B42,OpenYearShare,1)*($N42*ContribMargin*IF(AA$21=$B42,Ramp1,IF(AA$21=$B42+1,Ramp2,1))-$P42-INDEX(LicByYear,AL42,AA$21)))</f>
        <v>249679.806109926</v>
      </c>
      <c r="AB42" s="95">
        <f>IF(OR($C42="",AB$21&lt;$B42),0,IF(AB$21=$B42,OpenYearShare,1)*($N42*ContribMargin*IF(AB$21=$B42,Ramp1,IF(AB$21=$B42+1,Ramp2,1))-$P42-INDEX(LicByYear,AL42,AB$21)))</f>
        <v>249679.806109926</v>
      </c>
      <c r="AC42" s="95">
        <f>IF(OR($C42="",AC$21&lt;$B42),0,IF(AC$21=$B42,OpenYearShare,1)*($N42*ContribMargin*IF(AC$21=$B42,Ramp1,IF(AC$21=$B42+1,Ramp2,1))-$P42-INDEX(LicByYear,AL42,AC$21)))</f>
        <v>249679.806109926</v>
      </c>
      <c r="AD42" s="95">
        <f>IF(OR($C42="",AD$21&lt;$B42),0,IF(AD$21=$B42,OpenYearShare,1)*($N42*ContribMargin*IF(AD$21=$B42,Ramp1,IF(AD$21=$B42+1,Ramp2,1))-$P42-INDEX(LicByYear,AL42,AD$21)))</f>
        <v>249679.806109926</v>
      </c>
      <c r="AF42" s="82">
        <f>AF41+IF($C42="SPLUS",1,0)</f>
        <v>5</v>
      </c>
      <c r="AG42" s="82">
        <f>AG41+IF($C42="S",1,0)</f>
        <v>10</v>
      </c>
      <c r="AH42" s="82">
        <f>AH41+IF($C42="D",1,0)</f>
        <v>6</v>
      </c>
      <c r="AI42" s="105">
        <f>IF(OR($A42&gt;PlanStores,AF41&gt;=INDEX(Target,1)),-1000000000,INDEX(Target,1)*$A42-AF41*PlanStores)</f>
        <v>-3</v>
      </c>
      <c r="AJ42" s="105">
        <f>IF(OR($A42&gt;PlanStores,AG41&gt;=INDEX(Target,2)),-1000000000,INDEX(Target,2)*$A42-AG41*PlanStores)</f>
        <v>15</v>
      </c>
      <c r="AK42" s="105">
        <f>IF(OR($A42&gt;PlanStores,AH41&gt;=INDEX(Target,3)),-1000000000,INDEX(Target,3)*$A42-AH41*PlanStores)</f>
        <v>18</v>
      </c>
      <c r="AL42" s="82">
        <f>IF($C42="","",MATCH($C42,TierCodes,0))</f>
        <v>3</v>
      </c>
      <c r="AM42" s="82">
        <f>IF($C42="","",IF(OR(StreetChoice="Typical street for its size",INDEX(Cand,AL42)=0),"",MOD($D42-1,INDEX(Cand,AL42))+1))</f>
        <v>6</v>
      </c>
      <c r="AN42" s="82">
        <f>IF(AM42="","",MATCH($C42&amp;"|"&amp;AM42,Melbourne!$AA$58:$AA$135,0))</f>
        <v>53</v>
      </c>
      <c r="AO42" s="76">
        <f>IF($C42="","",Ramp1*$N42*ContribMargin-$P42-INDEX(LicPlan,AL42))</f>
        <v>121150.273549926</v>
      </c>
      <c r="AP42" s="76">
        <f>IF($C42="","",Ramp2*$N42*ContribMargin-$P42-INDEX(LicPlan,AL42))</f>
        <v>208550.355690726</v>
      </c>
      <c r="AR42" s="61">
        <f>IF($C42="","",MAX(Scale!$C$7,($D42+Scale!$C$8*($A42-$D42))^LOG(Scale!$C$6,2)))</f>
        <v>0.844915122687592</v>
      </c>
      <c r="AS42" s="61">
        <f>IF($C42="","",1-IF(IF(Deal="Commit to the full plan",PlanStores,$A42)&gt;=PBAt4,Scale!$C$12,IF(IF(Deal="Commit to the full plan",PlanStores,$A42)&gt;=PBAt3,Scale!$C$11,IF(IF(Deal="Commit to the full plan",PlanStores,$A42)&gt;=PBAt2,Scale!$C$10,IF(IF(Deal="Commit to the full plan",PlanStores,$A42)&gt;=PBAt1,Scale!$C$9,0)))))</f>
        <v>0.94</v>
      </c>
      <c r="AT42" s="61">
        <f>IF($C42="","",MAX(Scale!$D$7,($D42+Scale!$D$8*($A42-$D42))^LOG(Scale!$D$6,2)))</f>
        <v>0.7</v>
      </c>
      <c r="AU42" s="61">
        <f>IF($C42="","",1-IF(IF(Deal="Commit to the full plan",PlanStores,$A42)&gt;=PBAt4,Scale!$D$12,IF(IF(Deal="Commit to the full plan",PlanStores,$A42)&gt;=PBAt3,Scale!$D$11,IF(IF(Deal="Commit to the full plan",PlanStores,$A42)&gt;=PBAt2,Scale!$D$10,IF(IF(Deal="Commit to the full plan",PlanStores,$A42)&gt;=PBAt1,Scale!$D$9,0)))))</f>
        <v>0.9</v>
      </c>
      <c r="AV42" s="61">
        <f>IF($C42="","",MAX(Scale!$E$7,($D42+Scale!$E$8*($A42-$D42))^LOG(Scale!$E$6,2)))</f>
        <v>0.6</v>
      </c>
      <c r="AW42" s="61">
        <f>IF($C42="","",1-IF(IF(Deal="Commit to the full plan",PlanStores,$A42)&gt;=PBAt4,Scale!$E$12,IF(IF(Deal="Commit to the full plan",PlanStores,$A42)&gt;=PBAt3,Scale!$E$11,IF(IF(Deal="Commit to the full plan",PlanStores,$A42)&gt;=PBAt2,Scale!$E$10,IF(IF(Deal="Commit to the full plan",PlanStores,$A42)&gt;=PBAt1,Scale!$E$9,0)))))</f>
        <v>0.87</v>
      </c>
    </row>
    <row r="43">
      <c r="A43" s="110" t="n">
        <v>22</v>
      </c>
      <c r="B43" s="111">
        <f>IF($A43&gt;PlanStores,"",1+COUNTIF(CumOpenings,"&lt;"&amp;$A43))</f>
        <v>5</v>
      </c>
      <c r="C43" s="14" t="str">
        <f>IF($A43&gt;PlanStores,"",IF(AND($A43=1,FlagshipFirst="Yes",INDEX(Target,1)&gt;0),"SPLUS",IF(AND(AI43&gt;=AJ43,AI43&gt;=AK43),"SPLUS",IF(AJ43&gt;=AK43,"S","D"))))</f>
        <v>S</v>
      </c>
      <c r="D43" s="111">
        <f>IF($C43="","",IF($C43="SPLUS",AF43,IF($C43="S",AG43,AH43)))</f>
        <v>11</v>
      </c>
      <c r="E43" s="112">
        <f>IF($C43="","",$D43+LearnShared*($A43-$D43))</f>
        <v>16.5</v>
      </c>
      <c r="F43" s="85">
        <f>IF($C43="","",MAX(LearnFloor,$E43^LOG(LearnRate,2)))</f>
        <v>0.7</v>
      </c>
      <c r="G43" s="85">
        <f>IF($C43="","",1-IF(IF(Deal="Commit to the full plan",PlanStores,$A43)&gt;=PBAt4,PBDisc4,IF(IF(Deal="Commit to the full plan",PlanStores,$A43)&gt;=PBAt3,PBDisc3,IF(IF(Deal="Commit to the full plan",PlanStores,$A43)&gt;=PBAt2,PBDisc2,IF(IF(Deal="Commit to the full plan",PlanStores,$A43)&gt;=PBAt1,PBDisc1,0)))))</f>
        <v>0.9</v>
      </c>
      <c r="H43" s="39">
        <f>IF($C43="","",INDEX(BaseL,AL43)*$F43+INDEX(BaseV,AL43)*$G43+INDEX(BaseN,AL43))</f>
        <v>661637.5</v>
      </c>
      <c r="I43" s="39">
        <f>IF($C43="","",$H43*(1+BuildInflation)^($B43-1))</f>
        <v>744678.835276375</v>
      </c>
      <c r="J43" s="40" t="str">
        <f>IF($C43="","",IF(AN43="",IF(INDEX(Cand,AL43)=0,"No street of this size","Typical "&amp;LOWER(INDEX(TierNames,AL43))&amp;" street"),INDEX(Melbourne!$B$58:$B$135,AN43)))</f>
        <v>Southern Cross Station</v>
      </c>
      <c r="K43" s="40" t="str">
        <f>IF(OR($C43="",AN43=""),"",INDEX(Melbourne!$C$58:$C$135,AN43))</f>
        <v>Commuter Corridor</v>
      </c>
      <c r="L43" s="46">
        <f>IF($C43="","",IF(AN43="",INDEX(TypicalF,AL43),INDEX(Melbourne!$E$58:$E$135,AN43)))</f>
        <v>4605348</v>
      </c>
      <c r="M43" s="86">
        <f>IF($C43="","",IF(AN43="",INDEX(TypicalQ,AL43),INDEX(Melbourne!$N$58:$N$135,AN43)))</f>
        <v>0.5</v>
      </c>
      <c r="N43" s="39">
        <f>IF($C43="","",MIN($L43*Capture*$M43*Conversion*Ticket,INDEX(CapacityPsf,AL43)*INDEX(Area,AL43)))</f>
        <v>1105283.52</v>
      </c>
      <c r="O43" s="39">
        <f>IF($C43="","",INDEX(Area,AL43)*RentPsf*($L43/Fref)^RentElasticity)</f>
        <v>177333.849323211</v>
      </c>
      <c r="P43" s="39">
        <f>IF($C43="","",$O43+INDEX(RunOther,AL43))</f>
        <v>481919.422656545</v>
      </c>
      <c r="Q43" s="95">
        <f>IF($C43="","",$N43*ContribMargin-$P43-INDEX(LicPlan,AL43))</f>
        <v>95330.8429434553</v>
      </c>
      <c r="R43" s="113">
        <f>IF($C43="","",IF(AND(AO43&gt;=$H43,AO43&gt;0),$H43/AO43,IF(AND(AO43+AP43&gt;=$H43,AP43&gt;0),1+($H43-AO43)/AP43,IF($Q43&gt;0,2+($H43-AO43-AP43)/$Q43,"Never"))))</f>
        <v>8.96825792419676</v>
      </c>
      <c r="S43" s="39">
        <f>IF($C43="","",StockWeeks/52*$N43*(1-GrossMargin))</f>
        <v>59515.2664615385</v>
      </c>
      <c r="U43" s="95">
        <f>IF(OR($C43="",U$21&lt;$B43),0,IF(U$21=$B43,OpenYearShare,1)*($N43*ContribMargin*IF(U$21=$B43,Ramp1,IF(U$21=$B43+1,Ramp2,1))-$P43-INDEX(LicByYear,AL43,U$21)))</f>
        <v>0</v>
      </c>
      <c r="V43" s="95">
        <f>IF(OR($C43="",V$21&lt;$B43),0,IF(V$21=$B43,OpenYearShare,1)*($N43*ContribMargin*IF(V$21=$B43,Ramp1,IF(V$21=$B43+1,Ramp2,1))-$P43-INDEX(LicByYear,AL43,V$21)))</f>
        <v>0</v>
      </c>
      <c r="W43" s="95">
        <f>IF(OR($C43="",W$21&lt;$B43),0,IF(W$21=$B43,OpenYearShare,1)*($N43*ContribMargin*IF(W$21=$B43,Ramp1,IF(W$21=$B43+1,Ramp2,1))-$P43-INDEX(LicByYear,AL43,W$21)))</f>
        <v>0</v>
      </c>
      <c r="X43" s="95">
        <f>IF(OR($C43="",X$21&lt;$B43),0,IF(X$21=$B43,OpenYearShare,1)*($N43*ContribMargin*IF(X$21=$B43,Ramp1,IF(X$21=$B43+1,Ramp2,1))-$P43-INDEX(LicByYear,AL43,X$21)))</f>
        <v>0</v>
      </c>
      <c r="Y43" s="95">
        <f>IF(OR($C43="",Y$21&lt;$B43),0,IF(Y$21=$B43,OpenYearShare,1)*($N43*ContribMargin*IF(Y$21=$B43,Ramp1,IF(Y$21=$B43+1,Ramp2,1))-$P43-INDEX(LicByYear,AL43,Y$21)))</f>
        <v>-25559.6117282723</v>
      </c>
      <c r="Z43" s="95">
        <f>IF(OR($C43="",Z$21&lt;$B43),0,IF(Z$21=$B43,OpenYearShare,1)*($N43*ContribMargin*IF(Z$21=$B43,Ramp1,IF(Z$21=$B43+1,Ramp2,1))-$P43-INDEX(LicByYear,AL43,Z$21)))</f>
        <v>48466.8216954554</v>
      </c>
      <c r="AA43" s="95">
        <f>IF(OR($C43="",AA$21&lt;$B43),0,IF(AA$21=$B43,OpenYearShare,1)*($N43*ContribMargin*IF(AA$21=$B43,Ramp1,IF(AA$21=$B43+1,Ramp2,1))-$P43-INDEX(LicByYear,AL43,AA$21)))</f>
        <v>95330.8429434553</v>
      </c>
      <c r="AB43" s="95">
        <f>IF(OR($C43="",AB$21&lt;$B43),0,IF(AB$21=$B43,OpenYearShare,1)*($N43*ContribMargin*IF(AB$21=$B43,Ramp1,IF(AB$21=$B43+1,Ramp2,1))-$P43-INDEX(LicByYear,AL43,AB$21)))</f>
        <v>95330.8429434553</v>
      </c>
      <c r="AC43" s="95">
        <f>IF(OR($C43="",AC$21&lt;$B43),0,IF(AC$21=$B43,OpenYearShare,1)*($N43*ContribMargin*IF(AC$21=$B43,Ramp1,IF(AC$21=$B43+1,Ramp2,1))-$P43-INDEX(LicByYear,AL43,AC$21)))</f>
        <v>95330.8429434553</v>
      </c>
      <c r="AD43" s="95">
        <f>IF(OR($C43="",AD$21&lt;$B43),0,IF(AD$21=$B43,OpenYearShare,1)*($N43*ContribMargin*IF(AD$21=$B43,Ramp1,IF(AD$21=$B43+1,Ramp2,1))-$P43-INDEX(LicByYear,AL43,AD$21)))</f>
        <v>95330.8429434553</v>
      </c>
      <c r="AF43" s="82">
        <f>AF42+IF($C43="SPLUS",1,0)</f>
        <v>5</v>
      </c>
      <c r="AG43" s="82">
        <f>AG42+IF($C43="S",1,0)</f>
        <v>11</v>
      </c>
      <c r="AH43" s="82">
        <f>AH42+IF($C43="D",1,0)</f>
        <v>6</v>
      </c>
      <c r="AI43" s="105">
        <f>IF(OR($A43&gt;PlanStores,AF42&gt;=INDEX(Target,1)),-1000000000,INDEX(Target,1)*$A43-AF42*PlanStores)</f>
        <v>4</v>
      </c>
      <c r="AJ43" s="105">
        <f>IF(OR($A43&gt;PlanStores,AG42&gt;=INDEX(Target,2)),-1000000000,INDEX(Target,2)*$A43-AG42*PlanStores)</f>
        <v>30</v>
      </c>
      <c r="AK43" s="105">
        <f>IF(OR($A43&gt;PlanStores,AH42&gt;=INDEX(Target,3)),-1000000000,INDEX(Target,3)*$A43-AH42*PlanStores)</f>
        <v>-4</v>
      </c>
      <c r="AL43" s="82">
        <f>IF($C43="","",MATCH($C43,TierCodes,0))</f>
        <v>2</v>
      </c>
      <c r="AM43" s="82">
        <f>IF($C43="","",IF(OR(StreetChoice="Typical street for its size",INDEX(Cand,AL43)=0),"",MOD($D43-1,INDEX(Cand,AL43))+1))</f>
        <v>11</v>
      </c>
      <c r="AN43" s="82">
        <f>IF(AM43="","",MATCH($C43&amp;"|"&amp;AM43,Melbourne!$AA$58:$AA$135,0))</f>
        <v>23</v>
      </c>
      <c r="AO43" s="76">
        <f>IF($C43="","",Ramp1*$N43*ContribMargin-$P43-INDEX(LicPlan,AL43))</f>
        <v>-51119.2234565447</v>
      </c>
      <c r="AP43" s="76">
        <f>IF($C43="","",Ramp2*$N43*ContribMargin-$P43-INDEX(LicPlan,AL43))</f>
        <v>48466.8216954554</v>
      </c>
      <c r="AR43" s="61">
        <f>IF($C43="","",MAX(Scale!$C$7,($D43+Scale!$C$8*($A43-$D43))^LOG(Scale!$C$6,2)))</f>
        <v>0.823692171645026</v>
      </c>
      <c r="AS43" s="61">
        <f>IF($C43="","",1-IF(IF(Deal="Commit to the full plan",PlanStores,$A43)&gt;=PBAt4,Scale!$C$12,IF(IF(Deal="Commit to the full plan",PlanStores,$A43)&gt;=PBAt3,Scale!$C$11,IF(IF(Deal="Commit to the full plan",PlanStores,$A43)&gt;=PBAt2,Scale!$C$10,IF(IF(Deal="Commit to the full plan",PlanStores,$A43)&gt;=PBAt1,Scale!$C$9,0)))))</f>
        <v>0.94</v>
      </c>
      <c r="AT43" s="61">
        <f>IF($C43="","",MAX(Scale!$D$7,($D43+Scale!$D$8*($A43-$D43))^LOG(Scale!$D$6,2)))</f>
        <v>0.7</v>
      </c>
      <c r="AU43" s="61">
        <f>IF($C43="","",1-IF(IF(Deal="Commit to the full plan",PlanStores,$A43)&gt;=PBAt4,Scale!$D$12,IF(IF(Deal="Commit to the full plan",PlanStores,$A43)&gt;=PBAt3,Scale!$D$11,IF(IF(Deal="Commit to the full plan",PlanStores,$A43)&gt;=PBAt2,Scale!$D$10,IF(IF(Deal="Commit to the full plan",PlanStores,$A43)&gt;=PBAt1,Scale!$D$9,0)))))</f>
        <v>0.9</v>
      </c>
      <c r="AV43" s="61">
        <f>IF($C43="","",MAX(Scale!$E$7,($D43+Scale!$E$8*($A43-$D43))^LOG(Scale!$E$6,2)))</f>
        <v>0.6</v>
      </c>
      <c r="AW43" s="61">
        <f>IF($C43="","",1-IF(IF(Deal="Commit to the full plan",PlanStores,$A43)&gt;=PBAt4,Scale!$E$12,IF(IF(Deal="Commit to the full plan",PlanStores,$A43)&gt;=PBAt3,Scale!$E$11,IF(IF(Deal="Commit to the full plan",PlanStores,$A43)&gt;=PBAt2,Scale!$E$10,IF(IF(Deal="Commit to the full plan",PlanStores,$A43)&gt;=PBAt1,Scale!$E$9,0)))))</f>
        <v>0.87</v>
      </c>
    </row>
    <row r="44">
      <c r="A44" s="110" t="n">
        <v>23</v>
      </c>
      <c r="B44" s="111">
        <f>IF($A44&gt;PlanStores,"",1+COUNTIF(CumOpenings,"&lt;"&amp;$A44))</f>
        <v>5</v>
      </c>
      <c r="C44" s="14" t="str">
        <f>IF($A44&gt;PlanStores,"",IF(AND($A44=1,FlagshipFirst="Yes",INDEX(Target,1)&gt;0),"SPLUS",IF(AND(AI44&gt;=AJ44,AI44&gt;=AK44),"SPLUS",IF(AJ44&gt;=AK44,"S","D"))))</f>
        <v>S</v>
      </c>
      <c r="D44" s="111">
        <f>IF($C44="","",IF($C44="SPLUS",AF44,IF($C44="S",AG44,AH44)))</f>
        <v>12</v>
      </c>
      <c r="E44" s="112">
        <f>IF($C44="","",$D44+LearnShared*($A44-$D44))</f>
        <v>17.5</v>
      </c>
      <c r="F44" s="85">
        <f>IF($C44="","",MAX(LearnFloor,$E44^LOG(LearnRate,2)))</f>
        <v>0.7</v>
      </c>
      <c r="G44" s="85">
        <f>IF($C44="","",1-IF(IF(Deal="Commit to the full plan",PlanStores,$A44)&gt;=PBAt4,PBDisc4,IF(IF(Deal="Commit to the full plan",PlanStores,$A44)&gt;=PBAt3,PBDisc3,IF(IF(Deal="Commit to the full plan",PlanStores,$A44)&gt;=PBAt2,PBDisc2,IF(IF(Deal="Commit to the full plan",PlanStores,$A44)&gt;=PBAt1,PBDisc1,0)))))</f>
        <v>0.9</v>
      </c>
      <c r="H44" s="39">
        <f>IF($C44="","",INDEX(BaseL,AL44)*$F44+INDEX(BaseV,AL44)*$G44+INDEX(BaseN,AL44))</f>
        <v>661637.5</v>
      </c>
      <c r="I44" s="39">
        <f>IF($C44="","",$H44*(1+BuildInflation)^($B44-1))</f>
        <v>744678.835276375</v>
      </c>
      <c r="J44" s="40" t="str">
        <f>IF($C44="","",IF(AN44="",IF(INDEX(Cand,AL44)=0,"No street of this size","Typical "&amp;LOWER(INDEX(TierNames,AL44))&amp;" street"),INDEX(Melbourne!$B$58:$B$135,AN44)))</f>
        <v>iHub 489 Elizabeth Street</v>
      </c>
      <c r="K44" s="40" t="str">
        <f>IF(OR($C44="",AN44=""),"",INDEX(Melbourne!$C$58:$C$135,AN44))</f>
        <v>Destination Retail</v>
      </c>
      <c r="L44" s="46">
        <f>IF($C44="","",IF(AN44="",INDEX(TypicalF,AL44),INDEX(Melbourne!$E$58:$E$135,AN44)))</f>
        <v>4371980</v>
      </c>
      <c r="M44" s="86">
        <f>IF($C44="","",IF(AN44="",INDEX(TypicalQ,AL44),INDEX(Melbourne!$N$58:$N$135,AN44)))</f>
        <v>1.2</v>
      </c>
      <c r="N44" s="39">
        <f>IF($C44="","",MIN($L44*Capture*$M44*Conversion*Ticket,INDEX(CapacityPsf,AL44)*INDEX(Area,AL44)))</f>
        <v>2310000</v>
      </c>
      <c r="O44" s="39">
        <f>IF($C44="","",INDEX(Area,AL44)*RentPsf*($L44/Fref)^RentElasticity)</f>
        <v>172333.728307302</v>
      </c>
      <c r="P44" s="39">
        <f>IF($C44="","",$O44+INDEX(RunOther,AL44))</f>
        <v>476919.301640635</v>
      </c>
      <c r="Q44" s="95">
        <f>IF($C44="","",$N44*ContribMargin-$P44-INDEX(LicPlan,AL44))</f>
        <v>738830.698359365</v>
      </c>
      <c r="R44" s="113">
        <f>IF($C44="","",IF(AND(AO44&gt;=$H44,AO44&gt;0),$H44/AO44,IF(AND(AO44+AP44&gt;=$H44,AP44&gt;0),1+($H44-AO44)/AP44,IF($Q44&gt;0,2+($H44-AO44-AP44)/$Q44,"Never"))))</f>
        <v>1.35713301934111</v>
      </c>
      <c r="S44" s="39">
        <f>IF($C44="","",StockWeeks/52*$N44*(1-GrossMargin))</f>
        <v>124384.615384615</v>
      </c>
      <c r="U44" s="95">
        <f>IF(OR($C44="",U$21&lt;$B44),0,IF(U$21=$B44,OpenYearShare,1)*($N44*ContribMargin*IF(U$21=$B44,Ramp1,IF(U$21=$B44+1,Ramp2,1))-$P44-INDEX(LicByYear,AL44,U$21)))</f>
        <v>0</v>
      </c>
      <c r="V44" s="95">
        <f>IF(OR($C44="",V$21&lt;$B44),0,IF(V$21=$B44,OpenYearShare,1)*($N44*ContribMargin*IF(V$21=$B44,Ramp1,IF(V$21=$B44+1,Ramp2,1))-$P44-INDEX(LicByYear,AL44,V$21)))</f>
        <v>0</v>
      </c>
      <c r="W44" s="95">
        <f>IF(OR($C44="",W$21&lt;$B44),0,IF(W$21=$B44,OpenYearShare,1)*($N44*ContribMargin*IF(W$21=$B44,Ramp1,IF(W$21=$B44+1,Ramp2,1))-$P44-INDEX(LicByYear,AL44,W$21)))</f>
        <v>0</v>
      </c>
      <c r="X44" s="95">
        <f>IF(OR($C44="",X$21&lt;$B44),0,IF(X$21=$B44,OpenYearShare,1)*($N44*ContribMargin*IF(X$21=$B44,Ramp1,IF(X$21=$B44+1,Ramp2,1))-$P44-INDEX(LicByYear,AL44,X$21)))</f>
        <v>0</v>
      </c>
      <c r="Y44" s="95">
        <f>IF(OR($C44="",Y$21&lt;$B44),0,IF(Y$21=$B44,OpenYearShare,1)*($N44*ContribMargin*IF(Y$21=$B44,Ramp1,IF(Y$21=$B44+1,Ramp2,1))-$P44-INDEX(LicByYear,AL44,Y$21)))</f>
        <v>216377.849179683</v>
      </c>
      <c r="Z44" s="95">
        <f>IF(OR($C44="",Z$21&lt;$B44),0,IF(Z$21=$B44,OpenYearShare,1)*($N44*ContribMargin*IF(Z$21=$B44,Ramp1,IF(Z$21=$B44+1,Ramp2,1))-$P44-INDEX(LicByYear,AL44,Z$21)))</f>
        <v>640886.698359365</v>
      </c>
      <c r="AA44" s="95">
        <f>IF(OR($C44="",AA$21&lt;$B44),0,IF(AA$21=$B44,OpenYearShare,1)*($N44*ContribMargin*IF(AA$21=$B44,Ramp1,IF(AA$21=$B44+1,Ramp2,1))-$P44-INDEX(LicByYear,AL44,AA$21)))</f>
        <v>738830.698359365</v>
      </c>
      <c r="AB44" s="95">
        <f>IF(OR($C44="",AB$21&lt;$B44),0,IF(AB$21=$B44,OpenYearShare,1)*($N44*ContribMargin*IF(AB$21=$B44,Ramp1,IF(AB$21=$B44+1,Ramp2,1))-$P44-INDEX(LicByYear,AL44,AB$21)))</f>
        <v>738830.698359365</v>
      </c>
      <c r="AC44" s="95">
        <f>IF(OR($C44="",AC$21&lt;$B44),0,IF(AC$21=$B44,OpenYearShare,1)*($N44*ContribMargin*IF(AC$21=$B44,Ramp1,IF(AC$21=$B44+1,Ramp2,1))-$P44-INDEX(LicByYear,AL44,AC$21)))</f>
        <v>738830.698359365</v>
      </c>
      <c r="AD44" s="95">
        <f>IF(OR($C44="",AD$21&lt;$B44),0,IF(AD$21=$B44,OpenYearShare,1)*($N44*ContribMargin*IF(AD$21=$B44,Ramp1,IF(AD$21=$B44+1,Ramp2,1))-$P44-INDEX(LicByYear,AL44,AD$21)))</f>
        <v>738830.698359365</v>
      </c>
      <c r="AF44" s="82">
        <f>AF43+IF($C44="SPLUS",1,0)</f>
        <v>5</v>
      </c>
      <c r="AG44" s="82">
        <f>AG43+IF($C44="S",1,0)</f>
        <v>12</v>
      </c>
      <c r="AH44" s="82">
        <f>AH43+IF($C44="D",1,0)</f>
        <v>6</v>
      </c>
      <c r="AI44" s="105">
        <f>IF(OR($A44&gt;PlanStores,AF43&gt;=INDEX(Target,1)),-1000000000,INDEX(Target,1)*$A44-AF43*PlanStores)</f>
        <v>11</v>
      </c>
      <c r="AJ44" s="105">
        <f>IF(OR($A44&gt;PlanStores,AG43&gt;=INDEX(Target,2)),-1000000000,INDEX(Target,2)*$A44-AG43*PlanStores)</f>
        <v>15</v>
      </c>
      <c r="AK44" s="105">
        <f>IF(OR($A44&gt;PlanStores,AH43&gt;=INDEX(Target,3)),-1000000000,INDEX(Target,3)*$A44-AH43*PlanStores)</f>
        <v>4</v>
      </c>
      <c r="AL44" s="82">
        <f>IF($C44="","",MATCH($C44,TierCodes,0))</f>
        <v>2</v>
      </c>
      <c r="AM44" s="82">
        <f>IF($C44="","",IF(OR(StreetChoice="Typical street for its size",INDEX(Cand,AL44)=0),"",MOD($D44-1,INDEX(Cand,AL44))+1))</f>
        <v>12</v>
      </c>
      <c r="AN44" s="82">
        <f>IF(AM44="","",MATCH($C44&amp;"|"&amp;AM44,Melbourne!$AA$58:$AA$135,0))</f>
        <v>26</v>
      </c>
      <c r="AO44" s="76">
        <f>IF($C44="","",Ramp1*$N44*ContribMargin-$P44-INDEX(LicPlan,AL44))</f>
        <v>432755.698359365</v>
      </c>
      <c r="AP44" s="76">
        <f>IF($C44="","",Ramp2*$N44*ContribMargin-$P44-INDEX(LicPlan,AL44))</f>
        <v>640886.698359365</v>
      </c>
      <c r="AR44" s="61">
        <f>IF($C44="","",MAX(Scale!$C$7,($D44+Scale!$C$8*($A44-$D44))^LOG(Scale!$C$6,2)))</f>
        <v>0.819424058704701</v>
      </c>
      <c r="AS44" s="61">
        <f>IF($C44="","",1-IF(IF(Deal="Commit to the full plan",PlanStores,$A44)&gt;=PBAt4,Scale!$C$12,IF(IF(Deal="Commit to the full plan",PlanStores,$A44)&gt;=PBAt3,Scale!$C$11,IF(IF(Deal="Commit to the full plan",PlanStores,$A44)&gt;=PBAt2,Scale!$C$10,IF(IF(Deal="Commit to the full plan",PlanStores,$A44)&gt;=PBAt1,Scale!$C$9,0)))))</f>
        <v>0.94</v>
      </c>
      <c r="AT44" s="61">
        <f>IF($C44="","",MAX(Scale!$D$7,($D44+Scale!$D$8*($A44-$D44))^LOG(Scale!$D$6,2)))</f>
        <v>0.7</v>
      </c>
      <c r="AU44" s="61">
        <f>IF($C44="","",1-IF(IF(Deal="Commit to the full plan",PlanStores,$A44)&gt;=PBAt4,Scale!$D$12,IF(IF(Deal="Commit to the full plan",PlanStores,$A44)&gt;=PBAt3,Scale!$D$11,IF(IF(Deal="Commit to the full plan",PlanStores,$A44)&gt;=PBAt2,Scale!$D$10,IF(IF(Deal="Commit to the full plan",PlanStores,$A44)&gt;=PBAt1,Scale!$D$9,0)))))</f>
        <v>0.9</v>
      </c>
      <c r="AV44" s="61">
        <f>IF($C44="","",MAX(Scale!$E$7,($D44+Scale!$E$8*($A44-$D44))^LOG(Scale!$E$6,2)))</f>
        <v>0.6</v>
      </c>
      <c r="AW44" s="61">
        <f>IF($C44="","",1-IF(IF(Deal="Commit to the full plan",PlanStores,$A44)&gt;=PBAt4,Scale!$E$12,IF(IF(Deal="Commit to the full plan",PlanStores,$A44)&gt;=PBAt3,Scale!$E$11,IF(IF(Deal="Commit to the full plan",PlanStores,$A44)&gt;=PBAt2,Scale!$E$10,IF(IF(Deal="Commit to the full plan",PlanStores,$A44)&gt;=PBAt1,Scale!$E$9,0)))))</f>
        <v>0.87</v>
      </c>
    </row>
    <row r="45">
      <c r="A45" s="110" t="n">
        <v>24</v>
      </c>
      <c r="B45" s="111">
        <f>IF($A45&gt;PlanStores,"",1+COUNTIF(CumOpenings,"&lt;"&amp;$A45))</f>
        <v>5</v>
      </c>
      <c r="C45" s="14" t="str">
        <f>IF($A45&gt;PlanStores,"",IF(AND($A45=1,FlagshipFirst="Yes",INDEX(Target,1)&gt;0),"SPLUS",IF(AND(AI45&gt;=AJ45,AI45&gt;=AK45),"SPLUS",IF(AJ45&gt;=AK45,"S","D"))))</f>
        <v>SPLUS</v>
      </c>
      <c r="D45" s="111">
        <f>IF($C45="","",IF($C45="SPLUS",AF45,IF($C45="S",AG45,AH45)))</f>
        <v>6</v>
      </c>
      <c r="E45" s="112">
        <f>IF($C45="","",$D45+LearnShared*($A45-$D45))</f>
        <v>15</v>
      </c>
      <c r="F45" s="85">
        <f>IF($C45="","",MAX(LearnFloor,$E45^LOG(LearnRate,2)))</f>
        <v>0.7</v>
      </c>
      <c r="G45" s="85">
        <f>IF($C45="","",1-IF(IF(Deal="Commit to the full plan",PlanStores,$A45)&gt;=PBAt4,PBDisc4,IF(IF(Deal="Commit to the full plan",PlanStores,$A45)&gt;=PBAt3,PBDisc3,IF(IF(Deal="Commit to the full plan",PlanStores,$A45)&gt;=PBAt2,PBDisc2,IF(IF(Deal="Commit to the full plan",PlanStores,$A45)&gt;=PBAt1,PBDisc1,0)))))</f>
        <v>0.9</v>
      </c>
      <c r="H45" s="39">
        <f>IF($C45="","",INDEX(BaseL,AL45)*$F45+INDEX(BaseV,AL45)*$G45+INDEX(BaseN,AL45))</f>
        <v>1175651</v>
      </c>
      <c r="I45" s="39">
        <f>IF($C45="","",$H45*(1+BuildInflation)^($B45-1))</f>
        <v>1323205.55798531</v>
      </c>
      <c r="J45" s="40" t="str">
        <f>IF($C45="","",IF(AN45="",IF(INDEX(Cand,AL45)=0,"No street of this size","Typical "&amp;LOWER(INDEX(TierNames,AL45))&amp;" street"),INDEX(Melbourne!$B$58:$B$135,AN45)))</f>
        <v>Little Collins St-Swanston St (East)</v>
      </c>
      <c r="K45" s="40" t="str">
        <f>IF(OR($C45="",AN45=""),"",INDEX(Melbourne!$C$58:$C$135,AN45))</f>
        <v>Destination Retail</v>
      </c>
      <c r="L45" s="46">
        <f>IF($C45="","",IF(AN45="",INDEX(TypicalF,AL45),INDEX(Melbourne!$E$58:$E$135,AN45)))</f>
        <v>6855611</v>
      </c>
      <c r="M45" s="86">
        <f>IF($C45="","",IF(AN45="",INDEX(TypicalQ,AL45),INDEX(Melbourne!$N$58:$N$135,AN45)))</f>
        <v>1.2</v>
      </c>
      <c r="N45" s="39">
        <f>IF($C45="","",MIN($L45*Capture*$M45*Conversion*Ticket,INDEX(CapacityPsf,AL45)*INDEX(Area,AL45)))</f>
        <v>3948831.936</v>
      </c>
      <c r="O45" s="39">
        <f>IF($C45="","",INDEX(Area,AL45)*RentPsf*($L45/Fref)^RentElasticity)</f>
        <v>454797.068604171</v>
      </c>
      <c r="P45" s="39">
        <f>IF($C45="","",$O45+INDEX(RunOther,AL45))</f>
        <v>953090.815270838</v>
      </c>
      <c r="Q45" s="95">
        <f>IF($C45="","",$N45*ContribMargin-$P45-INDEX(LicPlan,AL45))</f>
        <v>1126965.11080916</v>
      </c>
      <c r="R45" s="113">
        <f>IF($C45="","",IF(AND(AO45&gt;=$H45,AO45&gt;0),$H45/AO45,IF(AND(AO45+AP45&gt;=$H45,AP45&gt;0),1+($H45-AO45)/AP45,IF($Q45&gt;0,2+($H45-AO45-AP45)/$Q45,"Never"))))</f>
        <v>1.59602446730235</v>
      </c>
      <c r="S45" s="39">
        <f>IF($C45="","",StockWeeks/52*$N45*(1-GrossMargin))</f>
        <v>212629.411938462</v>
      </c>
      <c r="U45" s="95">
        <f>IF(OR($C45="",U$21&lt;$B45),0,IF(U$21=$B45,OpenYearShare,1)*($N45*ContribMargin*IF(U$21=$B45,Ramp1,IF(U$21=$B45+1,Ramp2,1))-$P45-INDEX(LicByYear,AL45,U$21)))</f>
        <v>0</v>
      </c>
      <c r="V45" s="95">
        <f>IF(OR($C45="",V$21&lt;$B45),0,IF(V$21=$B45,OpenYearShare,1)*($N45*ContribMargin*IF(V$21=$B45,Ramp1,IF(V$21=$B45+1,Ramp2,1))-$P45-INDEX(LicByYear,AL45,V$21)))</f>
        <v>0</v>
      </c>
      <c r="W45" s="95">
        <f>IF(OR($C45="",W$21&lt;$B45),0,IF(W$21=$B45,OpenYearShare,1)*($N45*ContribMargin*IF(W$21=$B45,Ramp1,IF(W$21=$B45+1,Ramp2,1))-$P45-INDEX(LicByYear,AL45,W$21)))</f>
        <v>0</v>
      </c>
      <c r="X45" s="95">
        <f>IF(OR($C45="",X$21&lt;$B45),0,IF(X$21=$B45,OpenYearShare,1)*($N45*ContribMargin*IF(X$21=$B45,Ramp1,IF(X$21=$B45+1,Ramp2,1))-$P45-INDEX(LicByYear,AL45,X$21)))</f>
        <v>0</v>
      </c>
      <c r="Y45" s="95">
        <f>IF(OR($C45="",Y$21&lt;$B45),0,IF(Y$21=$B45,OpenYearShare,1)*($N45*ContribMargin*IF(Y$21=$B45,Ramp1,IF(Y$21=$B45+1,Ramp2,1))-$P45-INDEX(LicByYear,AL45,Y$21)))</f>
        <v>301872.439644581</v>
      </c>
      <c r="Z45" s="95">
        <f>IF(OR($C45="",Z$21&lt;$B45),0,IF(Z$21=$B45,OpenYearShare,1)*($N45*ContribMargin*IF(Z$21=$B45,Ramp1,IF(Z$21=$B45+1,Ramp2,1))-$P45-INDEX(LicByYear,AL45,Z$21)))</f>
        <v>959534.636722762</v>
      </c>
      <c r="AA45" s="95">
        <f>IF(OR($C45="",AA$21&lt;$B45),0,IF(AA$21=$B45,OpenYearShare,1)*($N45*ContribMargin*IF(AA$21=$B45,Ramp1,IF(AA$21=$B45+1,Ramp2,1))-$P45-INDEX(LicByYear,AL45,AA$21)))</f>
        <v>1126965.11080916</v>
      </c>
      <c r="AB45" s="95">
        <f>IF(OR($C45="",AB$21&lt;$B45),0,IF(AB$21=$B45,OpenYearShare,1)*($N45*ContribMargin*IF(AB$21=$B45,Ramp1,IF(AB$21=$B45+1,Ramp2,1))-$P45-INDEX(LicByYear,AL45,AB$21)))</f>
        <v>1126965.11080916</v>
      </c>
      <c r="AC45" s="95">
        <f>IF(OR($C45="",AC$21&lt;$B45),0,IF(AC$21=$B45,OpenYearShare,1)*($N45*ContribMargin*IF(AC$21=$B45,Ramp1,IF(AC$21=$B45+1,Ramp2,1))-$P45-INDEX(LicByYear,AL45,AC$21)))</f>
        <v>1126965.11080916</v>
      </c>
      <c r="AD45" s="95">
        <f>IF(OR($C45="",AD$21&lt;$B45),0,IF(AD$21=$B45,OpenYearShare,1)*($N45*ContribMargin*IF(AD$21=$B45,Ramp1,IF(AD$21=$B45+1,Ramp2,1))-$P45-INDEX(LicByYear,AL45,AD$21)))</f>
        <v>1126965.11080916</v>
      </c>
      <c r="AF45" s="82">
        <f>AF44+IF($C45="SPLUS",1,0)</f>
        <v>6</v>
      </c>
      <c r="AG45" s="82">
        <f>AG44+IF($C45="S",1,0)</f>
        <v>12</v>
      </c>
      <c r="AH45" s="82">
        <f>AH44+IF($C45="D",1,0)</f>
        <v>6</v>
      </c>
      <c r="AI45" s="105">
        <f>IF(OR($A45&gt;PlanStores,AF44&gt;=INDEX(Target,1)),-1000000000,INDEX(Target,1)*$A45-AF44*PlanStores)</f>
        <v>18</v>
      </c>
      <c r="AJ45" s="105">
        <f>IF(OR($A45&gt;PlanStores,AG44&gt;=INDEX(Target,2)),-1000000000,INDEX(Target,2)*$A45-AG44*PlanStores)</f>
        <v>0</v>
      </c>
      <c r="AK45" s="105">
        <f>IF(OR($A45&gt;PlanStores,AH44&gt;=INDEX(Target,3)),-1000000000,INDEX(Target,3)*$A45-AH44*PlanStores)</f>
        <v>12</v>
      </c>
      <c r="AL45" s="82">
        <f>IF($C45="","",MATCH($C45,TierCodes,0))</f>
        <v>1</v>
      </c>
      <c r="AM45" s="82">
        <f>IF($C45="","",IF(OR(StreetChoice="Typical street for its size",INDEX(Cand,AL45)=0),"",MOD($D45-1,INDEX(Cand,AL45))+1))</f>
        <v>6</v>
      </c>
      <c r="AN45" s="82">
        <f>IF(AM45="","",MATCH($C45&amp;"|"&amp;AM45,Melbourne!$AA$58:$AA$135,0))</f>
        <v>11</v>
      </c>
      <c r="AO45" s="76">
        <f>IF($C45="","",Ramp1*$N45*ContribMargin-$P45-INDEX(LicPlan,AL45))</f>
        <v>603744.879289162</v>
      </c>
      <c r="AP45" s="76">
        <f>IF($C45="","",Ramp2*$N45*ContribMargin-$P45-INDEX(LicPlan,AL45))</f>
        <v>959534.636722762</v>
      </c>
      <c r="AR45" s="61">
        <f>IF($C45="","",MAX(Scale!$C$7,($D45+Scale!$C$8*($A45-$D45))^LOG(Scale!$C$6,2)))</f>
        <v>0.840294262304436</v>
      </c>
      <c r="AS45" s="61">
        <f>IF($C45="","",1-IF(IF(Deal="Commit to the full plan",PlanStores,$A45)&gt;=PBAt4,Scale!$C$12,IF(IF(Deal="Commit to the full plan",PlanStores,$A45)&gt;=PBAt3,Scale!$C$11,IF(IF(Deal="Commit to the full plan",PlanStores,$A45)&gt;=PBAt2,Scale!$C$10,IF(IF(Deal="Commit to the full plan",PlanStores,$A45)&gt;=PBAt1,Scale!$C$9,0)))))</f>
        <v>0.94</v>
      </c>
      <c r="AT45" s="61">
        <f>IF($C45="","",MAX(Scale!$D$7,($D45+Scale!$D$8*($A45-$D45))^LOG(Scale!$D$6,2)))</f>
        <v>0.7</v>
      </c>
      <c r="AU45" s="61">
        <f>IF($C45="","",1-IF(IF(Deal="Commit to the full plan",PlanStores,$A45)&gt;=PBAt4,Scale!$D$12,IF(IF(Deal="Commit to the full plan",PlanStores,$A45)&gt;=PBAt3,Scale!$D$11,IF(IF(Deal="Commit to the full plan",PlanStores,$A45)&gt;=PBAt2,Scale!$D$10,IF(IF(Deal="Commit to the full plan",PlanStores,$A45)&gt;=PBAt1,Scale!$D$9,0)))))</f>
        <v>0.9</v>
      </c>
      <c r="AV45" s="61">
        <f>IF($C45="","",MAX(Scale!$E$7,($D45+Scale!$E$8*($A45-$D45))^LOG(Scale!$E$6,2)))</f>
        <v>0.6</v>
      </c>
      <c r="AW45" s="61">
        <f>IF($C45="","",1-IF(IF(Deal="Commit to the full plan",PlanStores,$A45)&gt;=PBAt4,Scale!$E$12,IF(IF(Deal="Commit to the full plan",PlanStores,$A45)&gt;=PBAt3,Scale!$E$11,IF(IF(Deal="Commit to the full plan",PlanStores,$A45)&gt;=PBAt2,Scale!$E$10,IF(IF(Deal="Commit to the full plan",PlanStores,$A45)&gt;=PBAt1,Scale!$E$9,0)))))</f>
        <v>0.87</v>
      </c>
    </row>
    <row r="46">
      <c r="A46" s="110" t="n">
        <v>25</v>
      </c>
      <c r="B46" s="111">
        <f>IF($A46&gt;PlanStores,"",1+COUNTIF(CumOpenings,"&lt;"&amp;$A46))</f>
        <v>5</v>
      </c>
      <c r="C46" s="14" t="str">
        <f>IF($A46&gt;PlanStores,"",IF(AND($A46=1,FlagshipFirst="Yes",INDEX(Target,1)&gt;0),"SPLUS",IF(AND(AI46&gt;=AJ46,AI46&gt;=AK46),"SPLUS",IF(AJ46&gt;=AK46,"S","D"))))</f>
        <v>D</v>
      </c>
      <c r="D46" s="111">
        <f>IF($C46="","",IF($C46="SPLUS",AF46,IF($C46="S",AG46,AH46)))</f>
        <v>7</v>
      </c>
      <c r="E46" s="112">
        <f>IF($C46="","",$D46+LearnShared*($A46-$D46))</f>
        <v>16</v>
      </c>
      <c r="F46" s="85">
        <f>IF($C46="","",MAX(LearnFloor,$E46^LOG(LearnRate,2)))</f>
        <v>0.7</v>
      </c>
      <c r="G46" s="85">
        <f>IF($C46="","",1-IF(IF(Deal="Commit to the full plan",PlanStores,$A46)&gt;=PBAt4,PBDisc4,IF(IF(Deal="Commit to the full plan",PlanStores,$A46)&gt;=PBAt3,PBDisc3,IF(IF(Deal="Commit to the full plan",PlanStores,$A46)&gt;=PBAt2,PBDisc2,IF(IF(Deal="Commit to the full plan",PlanStores,$A46)&gt;=PBAt1,PBDisc1,0)))))</f>
        <v>0.9</v>
      </c>
      <c r="H46" s="39">
        <f>IF($C46="","",INDEX(BaseL,AL46)*$F46+INDEX(BaseV,AL46)*$G46+INDEX(BaseN,AL46))</f>
        <v>375318</v>
      </c>
      <c r="I46" s="39">
        <f>IF($C46="","",$H46*(1+BuildInflation)^($B46-1))</f>
        <v>422423.71555158</v>
      </c>
      <c r="J46" s="40" t="str">
        <f>IF($C46="","",IF(AN46="",IF(INDEX(Cand,AL46)=0,"No street of this size","Typical "&amp;LOWER(INDEX(TierNames,AL46))&amp;" street"),INDEX(Melbourne!$B$58:$B$135,AN46)))</f>
        <v>Harbour Esplanade (West) - Pedestrian path</v>
      </c>
      <c r="K46" s="40" t="str">
        <f>IF(OR($C46="",AN46=""),"",INDEX(Melbourne!$C$58:$C$135,AN46))</f>
        <v>Evening / Entertainment</v>
      </c>
      <c r="L46" s="46">
        <f>IF($C46="","",IF(AN46="",INDEX(TypicalF,AL46),INDEX(Melbourne!$E$58:$E$135,AN46)))</f>
        <v>1795590</v>
      </c>
      <c r="M46" s="86">
        <f>IF($C46="","",IF(AN46="",INDEX(TypicalQ,AL46),INDEX(Melbourne!$N$58:$N$135,AN46)))</f>
        <v>1.1</v>
      </c>
      <c r="N46" s="39">
        <f>IF($C46="","",MIN($L46*Capture*$M46*Conversion*Ticket,INDEX(CapacityPsf,AL46)*INDEX(Area,AL46)))</f>
        <v>948071.52</v>
      </c>
      <c r="O46" s="39">
        <f>IF($C46="","",INDEX(Area,AL46)*RentPsf*($L46/Fref)^RentElasticity)</f>
        <v>57619.5424518273</v>
      </c>
      <c r="P46" s="39">
        <f>IF($C46="","",$O46+INDEX(RunOther,AL46))</f>
        <v>258577.971785161</v>
      </c>
      <c r="Q46" s="95">
        <f>IF($C46="","",$N46*ContribMargin-$P46-INDEX(LicPlan,AL46))</f>
        <v>238769.933814839</v>
      </c>
      <c r="R46" s="113">
        <f>IF($C46="","",IF(AND(AO46&gt;=$H46,AO46&gt;0),$H46/AO46,IF(AND(AO46+AP46&gt;=$H46,AP46&gt;0),1+($H46-AO46)/AP46,IF($Q46&gt;0,2+($H46-AO46-AP46)/$Q46,"Never"))))</f>
        <v>2.2663477775541</v>
      </c>
      <c r="S46" s="39">
        <f>IF($C46="","",StockWeeks/52*$N46*(1-GrossMargin))</f>
        <v>51050.0049230769</v>
      </c>
      <c r="U46" s="95">
        <f>IF(OR($C46="",U$21&lt;$B46),0,IF(U$21=$B46,OpenYearShare,1)*($N46*ContribMargin*IF(U$21=$B46,Ramp1,IF(U$21=$B46+1,Ramp2,1))-$P46-INDEX(LicByYear,AL46,U$21)))</f>
        <v>0</v>
      </c>
      <c r="V46" s="95">
        <f>IF(OR($C46="",V$21&lt;$B46),0,IF(V$21=$B46,OpenYearShare,1)*($N46*ContribMargin*IF(V$21=$B46,Ramp1,IF(V$21=$B46+1,Ramp2,1))-$P46-INDEX(LicByYear,AL46,V$21)))</f>
        <v>0</v>
      </c>
      <c r="W46" s="95">
        <f>IF(OR($C46="",W$21&lt;$B46),0,IF(W$21=$B46,OpenYearShare,1)*($N46*ContribMargin*IF(W$21=$B46,Ramp1,IF(W$21=$B46+1,Ramp2,1))-$P46-INDEX(LicByYear,AL46,W$21)))</f>
        <v>0</v>
      </c>
      <c r="X46" s="95">
        <f>IF(OR($C46="",X$21&lt;$B46),0,IF(X$21=$B46,OpenYearShare,1)*($N46*ContribMargin*IF(X$21=$B46,Ramp1,IF(X$21=$B46+1,Ramp2,1))-$P46-INDEX(LicByYear,AL46,X$21)))</f>
        <v>0</v>
      </c>
      <c r="Y46" s="95">
        <f>IF(OR($C46="",Y$21&lt;$B46),0,IF(Y$21=$B46,OpenYearShare,1)*($N46*ContribMargin*IF(Y$21=$B46,Ramp1,IF(Y$21=$B46+1,Ramp2,1))-$P46-INDEX(LicByYear,AL46,Y$21)))</f>
        <v>56575.2287074197</v>
      </c>
      <c r="Z46" s="95">
        <f>IF(OR($C46="",Z$21&lt;$B46),0,IF(Z$21=$B46,OpenYearShare,1)*($N46*ContribMargin*IF(Z$21=$B46,Ramp1,IF(Z$21=$B46+1,Ramp2,1))-$P46-INDEX(LicByYear,AL46,Z$21)))</f>
        <v>198571.701366839</v>
      </c>
      <c r="AA46" s="95">
        <f>IF(OR($C46="",AA$21&lt;$B46),0,IF(AA$21=$B46,OpenYearShare,1)*($N46*ContribMargin*IF(AA$21=$B46,Ramp1,IF(AA$21=$B46+1,Ramp2,1))-$P46-INDEX(LicByYear,AL46,AA$21)))</f>
        <v>238769.933814839</v>
      </c>
      <c r="AB46" s="95">
        <f>IF(OR($C46="",AB$21&lt;$B46),0,IF(AB$21=$B46,OpenYearShare,1)*($N46*ContribMargin*IF(AB$21=$B46,Ramp1,IF(AB$21=$B46+1,Ramp2,1))-$P46-INDEX(LicByYear,AL46,AB$21)))</f>
        <v>238769.933814839</v>
      </c>
      <c r="AC46" s="95">
        <f>IF(OR($C46="",AC$21&lt;$B46),0,IF(AC$21=$B46,OpenYearShare,1)*($N46*ContribMargin*IF(AC$21=$B46,Ramp1,IF(AC$21=$B46+1,Ramp2,1))-$P46-INDEX(LicByYear,AL46,AC$21)))</f>
        <v>238769.933814839</v>
      </c>
      <c r="AD46" s="95">
        <f>IF(OR($C46="",AD$21&lt;$B46),0,IF(AD$21=$B46,OpenYearShare,1)*($N46*ContribMargin*IF(AD$21=$B46,Ramp1,IF(AD$21=$B46+1,Ramp2,1))-$P46-INDEX(LicByYear,AL46,AD$21)))</f>
        <v>238769.933814839</v>
      </c>
      <c r="AF46" s="82">
        <f>AF45+IF($C46="SPLUS",1,0)</f>
        <v>6</v>
      </c>
      <c r="AG46" s="82">
        <f>AG45+IF($C46="S",1,0)</f>
        <v>12</v>
      </c>
      <c r="AH46" s="82">
        <f>AH45+IF($C46="D",1,0)</f>
        <v>7</v>
      </c>
      <c r="AI46" s="105">
        <f>IF(OR($A46&gt;PlanStores,AF45&gt;=INDEX(Target,1)),-1000000000,INDEX(Target,1)*$A46-AF45*PlanStores)</f>
        <v>-5</v>
      </c>
      <c r="AJ46" s="105">
        <f>IF(OR($A46&gt;PlanStores,AG45&gt;=INDEX(Target,2)),-1000000000,INDEX(Target,2)*$A46-AG45*PlanStores)</f>
        <v>15</v>
      </c>
      <c r="AK46" s="105">
        <f>IF(OR($A46&gt;PlanStores,AH45&gt;=INDEX(Target,3)),-1000000000,INDEX(Target,3)*$A46-AH45*PlanStores)</f>
        <v>20</v>
      </c>
      <c r="AL46" s="82">
        <f>IF($C46="","",MATCH($C46,TierCodes,0))</f>
        <v>3</v>
      </c>
      <c r="AM46" s="82">
        <f>IF($C46="","",IF(OR(StreetChoice="Typical street for its size",INDEX(Cand,AL46)=0),"",MOD($D46-1,INDEX(Cand,AL46))+1))</f>
        <v>7</v>
      </c>
      <c r="AN46" s="82">
        <f>IF(AM46="","",MATCH($C46&amp;"|"&amp;AM46,Melbourne!$AA$58:$AA$135,0))</f>
        <v>54</v>
      </c>
      <c r="AO46" s="76">
        <f>IF($C46="","",Ramp1*$N46*ContribMargin-$P46-INDEX(LicPlan,AL46))</f>
        <v>113150.457414839</v>
      </c>
      <c r="AP46" s="76">
        <f>IF($C46="","",Ramp2*$N46*ContribMargin-$P46-INDEX(LicPlan,AL46))</f>
        <v>198571.701366839</v>
      </c>
      <c r="AR46" s="61">
        <f>IF($C46="","",MAX(Scale!$C$7,($D46+Scale!$C$8*($A46-$D46))^LOG(Scale!$C$6,2)))</f>
        <v>0.834656429313626</v>
      </c>
      <c r="AS46" s="61">
        <f>IF($C46="","",1-IF(IF(Deal="Commit to the full plan",PlanStores,$A46)&gt;=PBAt4,Scale!$C$12,IF(IF(Deal="Commit to the full plan",PlanStores,$A46)&gt;=PBAt3,Scale!$C$11,IF(IF(Deal="Commit to the full plan",PlanStores,$A46)&gt;=PBAt2,Scale!$C$10,IF(IF(Deal="Commit to the full plan",PlanStores,$A46)&gt;=PBAt1,Scale!$C$9,0)))))</f>
        <v>0.94</v>
      </c>
      <c r="AT46" s="61">
        <f>IF($C46="","",MAX(Scale!$D$7,($D46+Scale!$D$8*($A46-$D46))^LOG(Scale!$D$6,2)))</f>
        <v>0.7</v>
      </c>
      <c r="AU46" s="61">
        <f>IF($C46="","",1-IF(IF(Deal="Commit to the full plan",PlanStores,$A46)&gt;=PBAt4,Scale!$D$12,IF(IF(Deal="Commit to the full plan",PlanStores,$A46)&gt;=PBAt3,Scale!$D$11,IF(IF(Deal="Commit to the full plan",PlanStores,$A46)&gt;=PBAt2,Scale!$D$10,IF(IF(Deal="Commit to the full plan",PlanStores,$A46)&gt;=PBAt1,Scale!$D$9,0)))))</f>
        <v>0.9</v>
      </c>
      <c r="AV46" s="61">
        <f>IF($C46="","",MAX(Scale!$E$7,($D46+Scale!$E$8*($A46-$D46))^LOG(Scale!$E$6,2)))</f>
        <v>0.6</v>
      </c>
      <c r="AW46" s="61">
        <f>IF($C46="","",1-IF(IF(Deal="Commit to the full plan",PlanStores,$A46)&gt;=PBAt4,Scale!$E$12,IF(IF(Deal="Commit to the full plan",PlanStores,$A46)&gt;=PBAt3,Scale!$E$11,IF(IF(Deal="Commit to the full plan",PlanStores,$A46)&gt;=PBAt2,Scale!$E$10,IF(IF(Deal="Commit to the full plan",PlanStores,$A46)&gt;=PBAt1,Scale!$E$9,0)))))</f>
        <v>0.87</v>
      </c>
    </row>
    <row r="47">
      <c r="A47" s="110" t="n">
        <v>26</v>
      </c>
      <c r="B47" s="111">
        <f>IF($A47&gt;PlanStores,"",1+COUNTIF(CumOpenings,"&lt;"&amp;$A47))</f>
        <v>5</v>
      </c>
      <c r="C47" s="14" t="str">
        <f>IF($A47&gt;PlanStores,"",IF(AND($A47=1,FlagshipFirst="Yes",INDEX(Target,1)&gt;0),"SPLUS",IF(AND(AI47&gt;=AJ47,AI47&gt;=AK47),"SPLUS",IF(AJ47&gt;=AK47,"S","D"))))</f>
        <v>S</v>
      </c>
      <c r="D47" s="111">
        <f>IF($C47="","",IF($C47="SPLUS",AF47,IF($C47="S",AG47,AH47)))</f>
        <v>13</v>
      </c>
      <c r="E47" s="112">
        <f>IF($C47="","",$D47+LearnShared*($A47-$D47))</f>
        <v>19.5</v>
      </c>
      <c r="F47" s="85">
        <f>IF($C47="","",MAX(LearnFloor,$E47^LOG(LearnRate,2)))</f>
        <v>0.7</v>
      </c>
      <c r="G47" s="85">
        <f>IF($C47="","",1-IF(IF(Deal="Commit to the full plan",PlanStores,$A47)&gt;=PBAt4,PBDisc4,IF(IF(Deal="Commit to the full plan",PlanStores,$A47)&gt;=PBAt3,PBDisc3,IF(IF(Deal="Commit to the full plan",PlanStores,$A47)&gt;=PBAt2,PBDisc2,IF(IF(Deal="Commit to the full plan",PlanStores,$A47)&gt;=PBAt1,PBDisc1,0)))))</f>
        <v>0.9</v>
      </c>
      <c r="H47" s="39">
        <f>IF($C47="","",INDEX(BaseL,AL47)*$F47+INDEX(BaseV,AL47)*$G47+INDEX(BaseN,AL47))</f>
        <v>661637.5</v>
      </c>
      <c r="I47" s="39">
        <f>IF($C47="","",$H47*(1+BuildInflation)^($B47-1))</f>
        <v>744678.835276375</v>
      </c>
      <c r="J47" s="40" t="str">
        <f>IF($C47="","",IF(AN47="",IF(INDEX(Cand,AL47)=0,"No street of this size","Typical "&amp;LOWER(INDEX(TierNames,AL47))&amp;" street"),INDEX(Melbourne!$B$58:$B$135,AN47)))</f>
        <v>I-Hub Southern Cross Station - Bourke Street Entrance - South</v>
      </c>
      <c r="K47" s="40" t="str">
        <f>IF(OR($C47="",AN47=""),"",INDEX(Melbourne!$C$58:$C$135,AN47))</f>
        <v>CBD Core / All-Day</v>
      </c>
      <c r="L47" s="46">
        <f>IF($C47="","",IF(AN47="",INDEX(TypicalF,AL47),INDEX(Melbourne!$E$58:$E$135,AN47)))</f>
        <v>4172608</v>
      </c>
      <c r="M47" s="86">
        <f>IF($C47="","",IF(AN47="",INDEX(TypicalQ,AL47),INDEX(Melbourne!$N$58:$N$135,AN47)))</f>
        <v>1</v>
      </c>
      <c r="N47" s="39">
        <f>IF($C47="","",MIN($L47*Capture*$M47*Conversion*Ticket,INDEX(CapacityPsf,AL47)*INDEX(Area,AL47)))</f>
        <v>2002851.84</v>
      </c>
      <c r="O47" s="39">
        <f>IF($C47="","",INDEX(Area,AL47)*RentPsf*($L47/Fref)^RentElasticity)</f>
        <v>167966.032773687</v>
      </c>
      <c r="P47" s="39">
        <f>IF($C47="","",$O47+INDEX(RunOther,AL47))</f>
        <v>472551.60610702</v>
      </c>
      <c r="Q47" s="95">
        <f>IF($C47="","",$N47*ContribMargin-$P47-INDEX(LicPlan,AL47))</f>
        <v>580409.86909298</v>
      </c>
      <c r="R47" s="113">
        <f>IF($C47="","",IF(AND(AO47&gt;=$H47,AO47&gt;0),$H47/AO47,IF(AND(AO47+AP47&gt;=$H47,AP47&gt;0),1+($H47-AO47)/AP47,IF($Q47&gt;0,2+($H47-AO47-AP47)/$Q47,"Never"))))</f>
        <v>1.69952215675778</v>
      </c>
      <c r="S47" s="39">
        <f>IF($C47="","",StockWeeks/52*$N47*(1-GrossMargin))</f>
        <v>107845.868307692</v>
      </c>
      <c r="U47" s="95">
        <f>IF(OR($C47="",U$21&lt;$B47),0,IF(U$21=$B47,OpenYearShare,1)*($N47*ContribMargin*IF(U$21=$B47,Ramp1,IF(U$21=$B47+1,Ramp2,1))-$P47-INDEX(LicByYear,AL47,U$21)))</f>
        <v>0</v>
      </c>
      <c r="V47" s="95">
        <f>IF(OR($C47="",V$21&lt;$B47),0,IF(V$21=$B47,OpenYearShare,1)*($N47*ContribMargin*IF(V$21=$B47,Ramp1,IF(V$21=$B47+1,Ramp2,1))-$P47-INDEX(LicByYear,AL47,V$21)))</f>
        <v>0</v>
      </c>
      <c r="W47" s="95">
        <f>IF(OR($C47="",W$21&lt;$B47),0,IF(W$21=$B47,OpenYearShare,1)*($N47*ContribMargin*IF(W$21=$B47,Ramp1,IF(W$21=$B47+1,Ramp2,1))-$P47-INDEX(LicByYear,AL47,W$21)))</f>
        <v>0</v>
      </c>
      <c r="X47" s="95">
        <f>IF(OR($C47="",X$21&lt;$B47),0,IF(X$21=$B47,OpenYearShare,1)*($N47*ContribMargin*IF(X$21=$B47,Ramp1,IF(X$21=$B47+1,Ramp2,1))-$P47-INDEX(LicByYear,AL47,X$21)))</f>
        <v>0</v>
      </c>
      <c r="Y47" s="95">
        <f>IF(OR($C47="",Y$21&lt;$B47),0,IF(Y$21=$B47,OpenYearShare,1)*($N47*ContribMargin*IF(Y$21=$B47,Ramp1,IF(Y$21=$B47+1,Ramp2,1))-$P47-INDEX(LicByYear,AL47,Y$21)))</f>
        <v>157516.00014649</v>
      </c>
      <c r="Z47" s="95">
        <f>IF(OR($C47="",Z$21&lt;$B47),0,IF(Z$21=$B47,OpenYearShare,1)*($N47*ContribMargin*IF(Z$21=$B47,Ramp1,IF(Z$21=$B47+1,Ramp2,1))-$P47-INDEX(LicByYear,AL47,Z$21)))</f>
        <v>495488.95107698</v>
      </c>
      <c r="AA47" s="95">
        <f>IF(OR($C47="",AA$21&lt;$B47),0,IF(AA$21=$B47,OpenYearShare,1)*($N47*ContribMargin*IF(AA$21=$B47,Ramp1,IF(AA$21=$B47+1,Ramp2,1))-$P47-INDEX(LicByYear,AL47,AA$21)))</f>
        <v>580409.86909298</v>
      </c>
      <c r="AB47" s="95">
        <f>IF(OR($C47="",AB$21&lt;$B47),0,IF(AB$21=$B47,OpenYearShare,1)*($N47*ContribMargin*IF(AB$21=$B47,Ramp1,IF(AB$21=$B47+1,Ramp2,1))-$P47-INDEX(LicByYear,AL47,AB$21)))</f>
        <v>580409.86909298</v>
      </c>
      <c r="AC47" s="95">
        <f>IF(OR($C47="",AC$21&lt;$B47),0,IF(AC$21=$B47,OpenYearShare,1)*($N47*ContribMargin*IF(AC$21=$B47,Ramp1,IF(AC$21=$B47+1,Ramp2,1))-$P47-INDEX(LicByYear,AL47,AC$21)))</f>
        <v>580409.86909298</v>
      </c>
      <c r="AD47" s="95">
        <f>IF(OR($C47="",AD$21&lt;$B47),0,IF(AD$21=$B47,OpenYearShare,1)*($N47*ContribMargin*IF(AD$21=$B47,Ramp1,IF(AD$21=$B47+1,Ramp2,1))-$P47-INDEX(LicByYear,AL47,AD$21)))</f>
        <v>580409.86909298</v>
      </c>
      <c r="AF47" s="82">
        <f>AF46+IF($C47="SPLUS",1,0)</f>
        <v>6</v>
      </c>
      <c r="AG47" s="82">
        <f>AG46+IF($C47="S",1,0)</f>
        <v>13</v>
      </c>
      <c r="AH47" s="82">
        <f>AH46+IF($C47="D",1,0)</f>
        <v>7</v>
      </c>
      <c r="AI47" s="105">
        <f>IF(OR($A47&gt;PlanStores,AF46&gt;=INDEX(Target,1)),-1000000000,INDEX(Target,1)*$A47-AF46*PlanStores)</f>
        <v>2</v>
      </c>
      <c r="AJ47" s="105">
        <f>IF(OR($A47&gt;PlanStores,AG46&gt;=INDEX(Target,2)),-1000000000,INDEX(Target,2)*$A47-AG46*PlanStores)</f>
        <v>30</v>
      </c>
      <c r="AK47" s="105">
        <f>IF(OR($A47&gt;PlanStores,AH46&gt;=INDEX(Target,3)),-1000000000,INDEX(Target,3)*$A47-AH46*PlanStores)</f>
        <v>-2</v>
      </c>
      <c r="AL47" s="82">
        <f>IF($C47="","",MATCH($C47,TierCodes,0))</f>
        <v>2</v>
      </c>
      <c r="AM47" s="82">
        <f>IF($C47="","",IF(OR(StreetChoice="Typical street for its size",INDEX(Cand,AL47)=0),"",MOD($D47-1,INDEX(Cand,AL47))+1))</f>
        <v>13</v>
      </c>
      <c r="AN47" s="82">
        <f>IF(AM47="","",MATCH($C47&amp;"|"&amp;AM47,Melbourne!$AA$58:$AA$135,0))</f>
        <v>27</v>
      </c>
      <c r="AO47" s="76">
        <f>IF($C47="","",Ramp1*$N47*ContribMargin-$P47-INDEX(LicPlan,AL47))</f>
        <v>315032.00029298</v>
      </c>
      <c r="AP47" s="76">
        <f>IF($C47="","",Ramp2*$N47*ContribMargin-$P47-INDEX(LicPlan,AL47))</f>
        <v>495488.95107698</v>
      </c>
      <c r="AR47" s="61">
        <f>IF($C47="","",MAX(Scale!$C$7,($D47+Scale!$C$8*($A47-$D47))^LOG(Scale!$C$6,2)))</f>
        <v>0.81357228753042</v>
      </c>
      <c r="AS47" s="61">
        <f>IF($C47="","",1-IF(IF(Deal="Commit to the full plan",PlanStores,$A47)&gt;=PBAt4,Scale!$C$12,IF(IF(Deal="Commit to the full plan",PlanStores,$A47)&gt;=PBAt3,Scale!$C$11,IF(IF(Deal="Commit to the full plan",PlanStores,$A47)&gt;=PBAt2,Scale!$C$10,IF(IF(Deal="Commit to the full plan",PlanStores,$A47)&gt;=PBAt1,Scale!$C$9,0)))))</f>
        <v>0.94</v>
      </c>
      <c r="AT47" s="61">
        <f>IF($C47="","",MAX(Scale!$D$7,($D47+Scale!$D$8*($A47-$D47))^LOG(Scale!$D$6,2)))</f>
        <v>0.7</v>
      </c>
      <c r="AU47" s="61">
        <f>IF($C47="","",1-IF(IF(Deal="Commit to the full plan",PlanStores,$A47)&gt;=PBAt4,Scale!$D$12,IF(IF(Deal="Commit to the full plan",PlanStores,$A47)&gt;=PBAt3,Scale!$D$11,IF(IF(Deal="Commit to the full plan",PlanStores,$A47)&gt;=PBAt2,Scale!$D$10,IF(IF(Deal="Commit to the full plan",PlanStores,$A47)&gt;=PBAt1,Scale!$D$9,0)))))</f>
        <v>0.9</v>
      </c>
      <c r="AV47" s="61">
        <f>IF($C47="","",MAX(Scale!$E$7,($D47+Scale!$E$8*($A47-$D47))^LOG(Scale!$E$6,2)))</f>
        <v>0.6</v>
      </c>
      <c r="AW47" s="61">
        <f>IF($C47="","",1-IF(IF(Deal="Commit to the full plan",PlanStores,$A47)&gt;=PBAt4,Scale!$E$12,IF(IF(Deal="Commit to the full plan",PlanStores,$A47)&gt;=PBAt3,Scale!$E$11,IF(IF(Deal="Commit to the full plan",PlanStores,$A47)&gt;=PBAt2,Scale!$E$10,IF(IF(Deal="Commit to the full plan",PlanStores,$A47)&gt;=PBAt1,Scale!$E$9,0)))))</f>
        <v>0.87</v>
      </c>
    </row>
    <row r="48">
      <c r="A48" s="110" t="n">
        <v>27</v>
      </c>
      <c r="B48" s="111">
        <f>IF($A48&gt;PlanStores,"",1+COUNTIF(CumOpenings,"&lt;"&amp;$A48))</f>
        <v>5</v>
      </c>
      <c r="C48" s="14" t="str">
        <f>IF($A48&gt;PlanStores,"",IF(AND($A48=1,FlagshipFirst="Yes",INDEX(Target,1)&gt;0),"SPLUS",IF(AND(AI48&gt;=AJ48,AI48&gt;=AK48),"SPLUS",IF(AJ48&gt;=AK48,"S","D"))))</f>
        <v>S</v>
      </c>
      <c r="D48" s="111">
        <f>IF($C48="","",IF($C48="SPLUS",AF48,IF($C48="S",AG48,AH48)))</f>
        <v>14</v>
      </c>
      <c r="E48" s="112">
        <f>IF($C48="","",$D48+LearnShared*($A48-$D48))</f>
        <v>20.5</v>
      </c>
      <c r="F48" s="85">
        <f>IF($C48="","",MAX(LearnFloor,$E48^LOG(LearnRate,2)))</f>
        <v>0.7</v>
      </c>
      <c r="G48" s="85">
        <f>IF($C48="","",1-IF(IF(Deal="Commit to the full plan",PlanStores,$A48)&gt;=PBAt4,PBDisc4,IF(IF(Deal="Commit to the full plan",PlanStores,$A48)&gt;=PBAt3,PBDisc3,IF(IF(Deal="Commit to the full plan",PlanStores,$A48)&gt;=PBAt2,PBDisc2,IF(IF(Deal="Commit to the full plan",PlanStores,$A48)&gt;=PBAt1,PBDisc1,0)))))</f>
        <v>0.9</v>
      </c>
      <c r="H48" s="39">
        <f>IF($C48="","",INDEX(BaseL,AL48)*$F48+INDEX(BaseV,AL48)*$G48+INDEX(BaseN,AL48))</f>
        <v>661637.5</v>
      </c>
      <c r="I48" s="39">
        <f>IF($C48="","",$H48*(1+BuildInflation)^($B48-1))</f>
        <v>744678.835276375</v>
      </c>
      <c r="J48" s="40" t="str">
        <f>IF($C48="","",IF(AN48="",IF(INDEX(Cand,AL48)=0,"No street of this size","Typical "&amp;LOWER(INDEX(TierNames,AL48))&amp;" street"),INDEX(Melbourne!$B$58:$B$135,AN48)))</f>
        <v>William St - Little Lonsdale St (West)</v>
      </c>
      <c r="K48" s="40" t="str">
        <f>IF(OR($C48="",AN48=""),"",INDEX(Melbourne!$C$58:$C$135,AN48))</f>
        <v>Commuter Corridor</v>
      </c>
      <c r="L48" s="46">
        <f>IF($C48="","",IF(AN48="",INDEX(TypicalF,AL48),INDEX(Melbourne!$E$58:$E$135,AN48)))</f>
        <v>3908858</v>
      </c>
      <c r="M48" s="86">
        <f>IF($C48="","",IF(AN48="",INDEX(TypicalQ,AL48),INDEX(Melbourne!$N$58:$N$135,AN48)))</f>
        <v>0.5</v>
      </c>
      <c r="N48" s="39">
        <f>IF($C48="","",MIN($L48*Capture*$M48*Conversion*Ticket,INDEX(CapacityPsf,AL48)*INDEX(Area,AL48)))</f>
        <v>938125.92</v>
      </c>
      <c r="O48" s="39">
        <f>IF($C48="","",INDEX(Area,AL48)*RentPsf*($L48/Fref)^RentElasticity)</f>
        <v>162040.932480383</v>
      </c>
      <c r="P48" s="39">
        <f>IF($C48="","",$O48+INDEX(RunOther,AL48))</f>
        <v>466626.505813717</v>
      </c>
      <c r="Q48" s="95">
        <f>IF($C48="","",$N48*ContribMargin-$P48-INDEX(LicPlan,AL48))</f>
        <v>22030.2317862834</v>
      </c>
      <c r="R48" s="113">
        <f>IF($C48="","",IF(AND(AO48&gt;=$H48,AO48&gt;0),$H48/AO48,IF(AND(AO48+AP48&gt;=$H48,AP48&gt;0),1+($H48-AO48)/AP48,IF($Q48&gt;0,2+($H48-AO48-AP48)/$Q48,"Never"))))</f>
        <v>37.4810274997703</v>
      </c>
      <c r="S48" s="39">
        <f>IF($C48="","",StockWeeks/52*$N48*(1-GrossMargin))</f>
        <v>50514.4726153846</v>
      </c>
      <c r="U48" s="95">
        <f>IF(OR($C48="",U$21&lt;$B48),0,IF(U$21=$B48,OpenYearShare,1)*($N48*ContribMargin*IF(U$21=$B48,Ramp1,IF(U$21=$B48+1,Ramp2,1))-$P48-INDEX(LicByYear,AL48,U$21)))</f>
        <v>0</v>
      </c>
      <c r="V48" s="95">
        <f>IF(OR($C48="",V$21&lt;$B48),0,IF(V$21=$B48,OpenYearShare,1)*($N48*ContribMargin*IF(V$21=$B48,Ramp1,IF(V$21=$B48+1,Ramp2,1))-$P48-INDEX(LicByYear,AL48,V$21)))</f>
        <v>0</v>
      </c>
      <c r="W48" s="95">
        <f>IF(OR($C48="",W$21&lt;$B48),0,IF(W$21=$B48,OpenYearShare,1)*($N48*ContribMargin*IF(W$21=$B48,Ramp1,IF(W$21=$B48+1,Ramp2,1))-$P48-INDEX(LicByYear,AL48,W$21)))</f>
        <v>0</v>
      </c>
      <c r="X48" s="95">
        <f>IF(OR($C48="",X$21&lt;$B48),0,IF(X$21=$B48,OpenYearShare,1)*($N48*ContribMargin*IF(X$21=$B48,Ramp1,IF(X$21=$B48+1,Ramp2,1))-$P48-INDEX(LicByYear,AL48,X$21)))</f>
        <v>0</v>
      </c>
      <c r="Y48" s="95">
        <f>IF(OR($C48="",Y$21&lt;$B48),0,IF(Y$21=$B48,OpenYearShare,1)*($N48*ContribMargin*IF(Y$21=$B48,Ramp1,IF(Y$21=$B48+1,Ramp2,1))-$P48-INDEX(LicByYear,AL48,Y$21)))</f>
        <v>-51135.7263068583</v>
      </c>
      <c r="Z48" s="95">
        <f>IF(OR($C48="",Z$21&lt;$B48),0,IF(Z$21=$B48,OpenYearShare,1)*($N48*ContribMargin*IF(Z$21=$B48,Ramp1,IF(Z$21=$B48+1,Ramp2,1))-$P48-INDEX(LicByYear,AL48,Z$21)))</f>
        <v>-17746.3072217166</v>
      </c>
      <c r="AA48" s="95">
        <f>IF(OR($C48="",AA$21&lt;$B48),0,IF(AA$21=$B48,OpenYearShare,1)*($N48*ContribMargin*IF(AA$21=$B48,Ramp1,IF(AA$21=$B48+1,Ramp2,1))-$P48-INDEX(LicByYear,AL48,AA$21)))</f>
        <v>22030.2317862834</v>
      </c>
      <c r="AB48" s="95">
        <f>IF(OR($C48="",AB$21&lt;$B48),0,IF(AB$21=$B48,OpenYearShare,1)*($N48*ContribMargin*IF(AB$21=$B48,Ramp1,IF(AB$21=$B48+1,Ramp2,1))-$P48-INDEX(LicByYear,AL48,AB$21)))</f>
        <v>22030.2317862834</v>
      </c>
      <c r="AC48" s="95">
        <f>IF(OR($C48="",AC$21&lt;$B48),0,IF(AC$21=$B48,OpenYearShare,1)*($N48*ContribMargin*IF(AC$21=$B48,Ramp1,IF(AC$21=$B48+1,Ramp2,1))-$P48-INDEX(LicByYear,AL48,AC$21)))</f>
        <v>22030.2317862834</v>
      </c>
      <c r="AD48" s="95">
        <f>IF(OR($C48="",AD$21&lt;$B48),0,IF(AD$21=$B48,OpenYearShare,1)*($N48*ContribMargin*IF(AD$21=$B48,Ramp1,IF(AD$21=$B48+1,Ramp2,1))-$P48-INDEX(LicByYear,AL48,AD$21)))</f>
        <v>22030.2317862834</v>
      </c>
      <c r="AF48" s="82">
        <f>AF47+IF($C48="SPLUS",1,0)</f>
        <v>6</v>
      </c>
      <c r="AG48" s="82">
        <f>AG47+IF($C48="S",1,0)</f>
        <v>14</v>
      </c>
      <c r="AH48" s="82">
        <f>AH47+IF($C48="D",1,0)</f>
        <v>7</v>
      </c>
      <c r="AI48" s="105">
        <f>IF(OR($A48&gt;PlanStores,AF47&gt;=INDEX(Target,1)),-1000000000,INDEX(Target,1)*$A48-AF47*PlanStores)</f>
        <v>9</v>
      </c>
      <c r="AJ48" s="105">
        <f>IF(OR($A48&gt;PlanStores,AG47&gt;=INDEX(Target,2)),-1000000000,INDEX(Target,2)*$A48-AG47*PlanStores)</f>
        <v>15</v>
      </c>
      <c r="AK48" s="105">
        <f>IF(OR($A48&gt;PlanStores,AH47&gt;=INDEX(Target,3)),-1000000000,INDEX(Target,3)*$A48-AH47*PlanStores)</f>
        <v>6</v>
      </c>
      <c r="AL48" s="82">
        <f>IF($C48="","",MATCH($C48,TierCodes,0))</f>
        <v>2</v>
      </c>
      <c r="AM48" s="82">
        <f>IF($C48="","",IF(OR(StreetChoice="Typical street for its size",INDEX(Cand,AL48)=0),"",MOD($D48-1,INDEX(Cand,AL48))+1))</f>
        <v>14</v>
      </c>
      <c r="AN48" s="82">
        <f>IF(AM48="","",MATCH($C48&amp;"|"&amp;AM48,Melbourne!$AA$58:$AA$135,0))</f>
        <v>28</v>
      </c>
      <c r="AO48" s="76">
        <f>IF($C48="","",Ramp1*$N48*ContribMargin-$P48-INDEX(LicPlan,AL48))</f>
        <v>-102271.452613717</v>
      </c>
      <c r="AP48" s="76">
        <f>IF($C48="","",Ramp2*$N48*ContribMargin-$P48-INDEX(LicPlan,AL48))</f>
        <v>-17746.3072217166</v>
      </c>
      <c r="AR48" s="61">
        <f>IF($C48="","",MAX(Scale!$C$7,($D48+Scale!$C$8*($A48-$D48))^LOG(Scale!$C$6,2)))</f>
        <v>0.809984834395074</v>
      </c>
      <c r="AS48" s="61">
        <f>IF($C48="","",1-IF(IF(Deal="Commit to the full plan",PlanStores,$A48)&gt;=PBAt4,Scale!$C$12,IF(IF(Deal="Commit to the full plan",PlanStores,$A48)&gt;=PBAt3,Scale!$C$11,IF(IF(Deal="Commit to the full plan",PlanStores,$A48)&gt;=PBAt2,Scale!$C$10,IF(IF(Deal="Commit to the full plan",PlanStores,$A48)&gt;=PBAt1,Scale!$C$9,0)))))</f>
        <v>0.94</v>
      </c>
      <c r="AT48" s="61">
        <f>IF($C48="","",MAX(Scale!$D$7,($D48+Scale!$D$8*($A48-$D48))^LOG(Scale!$D$6,2)))</f>
        <v>0.7</v>
      </c>
      <c r="AU48" s="61">
        <f>IF($C48="","",1-IF(IF(Deal="Commit to the full plan",PlanStores,$A48)&gt;=PBAt4,Scale!$D$12,IF(IF(Deal="Commit to the full plan",PlanStores,$A48)&gt;=PBAt3,Scale!$D$11,IF(IF(Deal="Commit to the full plan",PlanStores,$A48)&gt;=PBAt2,Scale!$D$10,IF(IF(Deal="Commit to the full plan",PlanStores,$A48)&gt;=PBAt1,Scale!$D$9,0)))))</f>
        <v>0.9</v>
      </c>
      <c r="AV48" s="61">
        <f>IF($C48="","",MAX(Scale!$E$7,($D48+Scale!$E$8*($A48-$D48))^LOG(Scale!$E$6,2)))</f>
        <v>0.6</v>
      </c>
      <c r="AW48" s="61">
        <f>IF($C48="","",1-IF(IF(Deal="Commit to the full plan",PlanStores,$A48)&gt;=PBAt4,Scale!$E$12,IF(IF(Deal="Commit to the full plan",PlanStores,$A48)&gt;=PBAt3,Scale!$E$11,IF(IF(Deal="Commit to the full plan",PlanStores,$A48)&gt;=PBAt2,Scale!$E$10,IF(IF(Deal="Commit to the full plan",PlanStores,$A48)&gt;=PBAt1,Scale!$E$9,0)))))</f>
        <v>0.87</v>
      </c>
    </row>
    <row r="49">
      <c r="A49" s="110" t="n">
        <v>28</v>
      </c>
      <c r="B49" s="111">
        <f>IF($A49&gt;PlanStores,"",1+COUNTIF(CumOpenings,"&lt;"&amp;$A49))</f>
        <v>5</v>
      </c>
      <c r="C49" s="14" t="str">
        <f>IF($A49&gt;PlanStores,"",IF(AND($A49=1,FlagshipFirst="Yes",INDEX(Target,1)&gt;0),"SPLUS",IF(AND(AI49&gt;=AJ49,AI49&gt;=AK49),"SPLUS",IF(AJ49&gt;=AK49,"S","D"))))</f>
        <v>SPLUS</v>
      </c>
      <c r="D49" s="111">
        <f>IF($C49="","",IF($C49="SPLUS",AF49,IF($C49="S",AG49,AH49)))</f>
        <v>7</v>
      </c>
      <c r="E49" s="112">
        <f>IF($C49="","",$D49+LearnShared*($A49-$D49))</f>
        <v>17.5</v>
      </c>
      <c r="F49" s="85">
        <f>IF($C49="","",MAX(LearnFloor,$E49^LOG(LearnRate,2)))</f>
        <v>0.7</v>
      </c>
      <c r="G49" s="85">
        <f>IF($C49="","",1-IF(IF(Deal="Commit to the full plan",PlanStores,$A49)&gt;=PBAt4,PBDisc4,IF(IF(Deal="Commit to the full plan",PlanStores,$A49)&gt;=PBAt3,PBDisc3,IF(IF(Deal="Commit to the full plan",PlanStores,$A49)&gt;=PBAt2,PBDisc2,IF(IF(Deal="Commit to the full plan",PlanStores,$A49)&gt;=PBAt1,PBDisc1,0)))))</f>
        <v>0.9</v>
      </c>
      <c r="H49" s="39">
        <f>IF($C49="","",INDEX(BaseL,AL49)*$F49+INDEX(BaseV,AL49)*$G49+INDEX(BaseN,AL49))</f>
        <v>1175651</v>
      </c>
      <c r="I49" s="39">
        <f>IF($C49="","",$H49*(1+BuildInflation)^($B49-1))</f>
        <v>1323205.55798531</v>
      </c>
      <c r="J49" s="40" t="str">
        <f>IF($C49="","",IF(AN49="",IF(INDEX(Cand,AL49)=0,"No street of this size","Typical "&amp;LOWER(INDEX(TierNames,AL49))&amp;" street"),INDEX(Melbourne!$B$58:$B$135,AN49)))</f>
        <v>Flinders Underpass - Walkway</v>
      </c>
      <c r="K49" s="40" t="str">
        <f>IF(OR($C49="",AN49=""),"",INDEX(Melbourne!$C$58:$C$135,AN49))</f>
        <v>CBD Core / All-Day</v>
      </c>
      <c r="L49" s="46">
        <f>IF($C49="","",IF(AN49="",INDEX(TypicalF,AL49),INDEX(Melbourne!$E$58:$E$135,AN49)))</f>
        <v>6219798</v>
      </c>
      <c r="M49" s="86">
        <f>IF($C49="","",IF(AN49="",INDEX(TypicalQ,AL49),INDEX(Melbourne!$N$58:$N$135,AN49)))</f>
        <v>1</v>
      </c>
      <c r="N49" s="39">
        <f>IF($C49="","",MIN($L49*Capture*$M49*Conversion*Ticket,INDEX(CapacityPsf,AL49)*INDEX(Area,AL49)))</f>
        <v>2985503.04</v>
      </c>
      <c r="O49" s="39">
        <f>IF($C49="","",INDEX(Area,AL49)*RentPsf*($L49/Fref)^RentElasticity)</f>
        <v>431091.261149854</v>
      </c>
      <c r="P49" s="39">
        <f>IF($C49="","",$O49+INDEX(RunOther,AL49))</f>
        <v>929385.007816521</v>
      </c>
      <c r="Q49" s="95">
        <f>IF($C49="","",$N49*ContribMargin-$P49-INDEX(LicPlan,AL49))</f>
        <v>640106.603383479</v>
      </c>
      <c r="R49" s="113">
        <f>IF($C49="","",IF(AND(AO49&gt;=$H49,AO49&gt;0),$H49/AO49,IF(AND(AO49+AP49&gt;=$H49,AP49&gt;0),1+($H49-AO49)/AP49,IF($Q49&gt;0,2+($H49-AO49-AP49)/$Q49,"Never"))))</f>
        <v>2.65239488660432</v>
      </c>
      <c r="S49" s="39">
        <f>IF($C49="","",StockWeeks/52*$N49*(1-GrossMargin))</f>
        <v>160757.856</v>
      </c>
      <c r="U49" s="95">
        <f>IF(OR($C49="",U$21&lt;$B49),0,IF(U$21=$B49,OpenYearShare,1)*($N49*ContribMargin*IF(U$21=$B49,Ramp1,IF(U$21=$B49+1,Ramp2,1))-$P49-INDEX(LicByYear,AL49,U$21)))</f>
        <v>0</v>
      </c>
      <c r="V49" s="95">
        <f>IF(OR($C49="",V$21&lt;$B49),0,IF(V$21=$B49,OpenYearShare,1)*($N49*ContribMargin*IF(V$21=$B49,Ramp1,IF(V$21=$B49+1,Ramp2,1))-$P49-INDEX(LicByYear,AL49,V$21)))</f>
        <v>0</v>
      </c>
      <c r="W49" s="95">
        <f>IF(OR($C49="",W$21&lt;$B49),0,IF(W$21=$B49,OpenYearShare,1)*($N49*ContribMargin*IF(W$21=$B49,Ramp1,IF(W$21=$B49+1,Ramp2,1))-$P49-INDEX(LicByYear,AL49,W$21)))</f>
        <v>0</v>
      </c>
      <c r="X49" s="95">
        <f>IF(OR($C49="",X$21&lt;$B49),0,IF(X$21=$B49,OpenYearShare,1)*($N49*ContribMargin*IF(X$21=$B49,Ramp1,IF(X$21=$B49+1,Ramp2,1))-$P49-INDEX(LicByYear,AL49,X$21)))</f>
        <v>0</v>
      </c>
      <c r="Y49" s="95">
        <f>IF(OR($C49="",Y$21&lt;$B49),0,IF(Y$21=$B49,OpenYearShare,1)*($N49*ContribMargin*IF(Y$21=$B49,Ramp1,IF(Y$21=$B49+1,Ramp2,1))-$P49-INDEX(LicByYear,AL49,Y$21)))</f>
        <v>122263.72529174</v>
      </c>
      <c r="Z49" s="95">
        <f>IF(OR($C49="",Z$21&lt;$B49),0,IF(Z$21=$B49,OpenYearShare,1)*($N49*ContribMargin*IF(Z$21=$B49,Ramp1,IF(Z$21=$B49+1,Ramp2,1))-$P49-INDEX(LicByYear,AL49,Z$21)))</f>
        <v>513521.274487479</v>
      </c>
      <c r="AA49" s="95">
        <f>IF(OR($C49="",AA$21&lt;$B49),0,IF(AA$21=$B49,OpenYearShare,1)*($N49*ContribMargin*IF(AA$21=$B49,Ramp1,IF(AA$21=$B49+1,Ramp2,1))-$P49-INDEX(LicByYear,AL49,AA$21)))</f>
        <v>640106.603383479</v>
      </c>
      <c r="AB49" s="95">
        <f>IF(OR($C49="",AB$21&lt;$B49),0,IF(AB$21=$B49,OpenYearShare,1)*($N49*ContribMargin*IF(AB$21=$B49,Ramp1,IF(AB$21=$B49+1,Ramp2,1))-$P49-INDEX(LicByYear,AL49,AB$21)))</f>
        <v>640106.603383479</v>
      </c>
      <c r="AC49" s="95">
        <f>IF(OR($C49="",AC$21&lt;$B49),0,IF(AC$21=$B49,OpenYearShare,1)*($N49*ContribMargin*IF(AC$21=$B49,Ramp1,IF(AC$21=$B49+1,Ramp2,1))-$P49-INDEX(LicByYear,AL49,AC$21)))</f>
        <v>640106.603383479</v>
      </c>
      <c r="AD49" s="95">
        <f>IF(OR($C49="",AD$21&lt;$B49),0,IF(AD$21=$B49,OpenYearShare,1)*($N49*ContribMargin*IF(AD$21=$B49,Ramp1,IF(AD$21=$B49+1,Ramp2,1))-$P49-INDEX(LicByYear,AL49,AD$21)))</f>
        <v>640106.603383479</v>
      </c>
      <c r="AF49" s="82">
        <f>AF48+IF($C49="SPLUS",1,0)</f>
        <v>7</v>
      </c>
      <c r="AG49" s="82">
        <f>AG48+IF($C49="S",1,0)</f>
        <v>14</v>
      </c>
      <c r="AH49" s="82">
        <f>AH48+IF($C49="D",1,0)</f>
        <v>7</v>
      </c>
      <c r="AI49" s="105">
        <f>IF(OR($A49&gt;PlanStores,AF48&gt;=INDEX(Target,1)),-1000000000,INDEX(Target,1)*$A49-AF48*PlanStores)</f>
        <v>16</v>
      </c>
      <c r="AJ49" s="105">
        <f>IF(OR($A49&gt;PlanStores,AG48&gt;=INDEX(Target,2)),-1000000000,INDEX(Target,2)*$A49-AG48*PlanStores)</f>
        <v>0</v>
      </c>
      <c r="AK49" s="105">
        <f>IF(OR($A49&gt;PlanStores,AH48&gt;=INDEX(Target,3)),-1000000000,INDEX(Target,3)*$A49-AH48*PlanStores)</f>
        <v>14</v>
      </c>
      <c r="AL49" s="82">
        <f>IF($C49="","",MATCH($C49,TierCodes,0))</f>
        <v>1</v>
      </c>
      <c r="AM49" s="82">
        <f>IF($C49="","",IF(OR(StreetChoice="Typical street for its size",INDEX(Cand,AL49)=0),"",MOD($D49-1,INDEX(Cand,AL49))+1))</f>
        <v>7</v>
      </c>
      <c r="AN49" s="82">
        <f>IF(AM49="","",MATCH($C49&amp;"|"&amp;AM49,Melbourne!$AA$58:$AA$135,0))</f>
        <v>14</v>
      </c>
      <c r="AO49" s="76">
        <f>IF($C49="","",Ramp1*$N49*ContribMargin-$P49-INDEX(LicPlan,AL49))</f>
        <v>244527.450583479</v>
      </c>
      <c r="AP49" s="76">
        <f>IF($C49="","",Ramp2*$N49*ContribMargin-$P49-INDEX(LicPlan,AL49))</f>
        <v>513521.274487479</v>
      </c>
      <c r="AR49" s="61">
        <f>IF($C49="","",MAX(Scale!$C$7,($D49+Scale!$C$8*($A49-$D49))^LOG(Scale!$C$6,2)))</f>
        <v>0.830763288440722</v>
      </c>
      <c r="AS49" s="61">
        <f>IF($C49="","",1-IF(IF(Deal="Commit to the full plan",PlanStores,$A49)&gt;=PBAt4,Scale!$C$12,IF(IF(Deal="Commit to the full plan",PlanStores,$A49)&gt;=PBAt3,Scale!$C$11,IF(IF(Deal="Commit to the full plan",PlanStores,$A49)&gt;=PBAt2,Scale!$C$10,IF(IF(Deal="Commit to the full plan",PlanStores,$A49)&gt;=PBAt1,Scale!$C$9,0)))))</f>
        <v>0.94</v>
      </c>
      <c r="AT49" s="61">
        <f>IF($C49="","",MAX(Scale!$D$7,($D49+Scale!$D$8*($A49-$D49))^LOG(Scale!$D$6,2)))</f>
        <v>0.7</v>
      </c>
      <c r="AU49" s="61">
        <f>IF($C49="","",1-IF(IF(Deal="Commit to the full plan",PlanStores,$A49)&gt;=PBAt4,Scale!$D$12,IF(IF(Deal="Commit to the full plan",PlanStores,$A49)&gt;=PBAt3,Scale!$D$11,IF(IF(Deal="Commit to the full plan",PlanStores,$A49)&gt;=PBAt2,Scale!$D$10,IF(IF(Deal="Commit to the full plan",PlanStores,$A49)&gt;=PBAt1,Scale!$D$9,0)))))</f>
        <v>0.9</v>
      </c>
      <c r="AV49" s="61">
        <f>IF($C49="","",MAX(Scale!$E$7,($D49+Scale!$E$8*($A49-$D49))^LOG(Scale!$E$6,2)))</f>
        <v>0.6</v>
      </c>
      <c r="AW49" s="61">
        <f>IF($C49="","",1-IF(IF(Deal="Commit to the full plan",PlanStores,$A49)&gt;=PBAt4,Scale!$E$12,IF(IF(Deal="Commit to the full plan",PlanStores,$A49)&gt;=PBAt3,Scale!$E$11,IF(IF(Deal="Commit to the full plan",PlanStores,$A49)&gt;=PBAt2,Scale!$E$10,IF(IF(Deal="Commit to the full plan",PlanStores,$A49)&gt;=PBAt1,Scale!$E$9,0)))))</f>
        <v>0.87</v>
      </c>
    </row>
    <row r="50">
      <c r="A50" s="110" t="n">
        <v>29</v>
      </c>
      <c r="B50" s="111">
        <f>IF($A50&gt;PlanStores,"",1+COUNTIF(CumOpenings,"&lt;"&amp;$A50))</f>
        <v>5</v>
      </c>
      <c r="C50" s="14" t="str">
        <f>IF($A50&gt;PlanStores,"",IF(AND($A50=1,FlagshipFirst="Yes",INDEX(Target,1)&gt;0),"SPLUS",IF(AND(AI50&gt;=AJ50,AI50&gt;=AK50),"SPLUS",IF(AJ50&gt;=AK50,"S","D"))))</f>
        <v>D</v>
      </c>
      <c r="D50" s="111">
        <f>IF($C50="","",IF($C50="SPLUS",AF50,IF($C50="S",AG50,AH50)))</f>
        <v>8</v>
      </c>
      <c r="E50" s="112">
        <f>IF($C50="","",$D50+LearnShared*($A50-$D50))</f>
        <v>18.5</v>
      </c>
      <c r="F50" s="85">
        <f>IF($C50="","",MAX(LearnFloor,$E50^LOG(LearnRate,2)))</f>
        <v>0.7</v>
      </c>
      <c r="G50" s="85">
        <f>IF($C50="","",1-IF(IF(Deal="Commit to the full plan",PlanStores,$A50)&gt;=PBAt4,PBDisc4,IF(IF(Deal="Commit to the full plan",PlanStores,$A50)&gt;=PBAt3,PBDisc3,IF(IF(Deal="Commit to the full plan",PlanStores,$A50)&gt;=PBAt2,PBDisc2,IF(IF(Deal="Commit to the full plan",PlanStores,$A50)&gt;=PBAt1,PBDisc1,0)))))</f>
        <v>0.9</v>
      </c>
      <c r="H50" s="39">
        <f>IF($C50="","",INDEX(BaseL,AL50)*$F50+INDEX(BaseV,AL50)*$G50+INDEX(BaseN,AL50))</f>
        <v>375318</v>
      </c>
      <c r="I50" s="39">
        <f>IF($C50="","",$H50*(1+BuildInflation)^($B50-1))</f>
        <v>422423.71555158</v>
      </c>
      <c r="J50" s="40" t="str">
        <f>IF($C50="","",IF(AN50="",IF(INDEX(Cand,AL50)=0,"No street of this size","Typical "&amp;LOWER(INDEX(TierNames,AL50))&amp;" street"),INDEX(Melbourne!$B$58:$B$135,AN50)))</f>
        <v>Grattan St-Swanston St (West)</v>
      </c>
      <c r="K50" s="40" t="str">
        <f>IF(OR($C50="",AN50=""),"",INDEX(Melbourne!$C$58:$C$135,AN50))</f>
        <v>Office / Weekday Core</v>
      </c>
      <c r="L50" s="46">
        <f>IF($C50="","",IF(AN50="",INDEX(TypicalF,AL50),INDEX(Melbourne!$E$58:$E$135,AN50)))</f>
        <v>1673746</v>
      </c>
      <c r="M50" s="86">
        <f>IF($C50="","",IF(AN50="",INDEX(TypicalQ,AL50),INDEX(Melbourne!$N$58:$N$135,AN50)))</f>
        <v>0.7</v>
      </c>
      <c r="N50" s="39">
        <f>IF($C50="","",MIN($L50*Capture*$M50*Conversion*Ticket,INDEX(CapacityPsf,AL50)*INDEX(Area,AL50)))</f>
        <v>562378.656</v>
      </c>
      <c r="O50" s="39">
        <f>IF($C50="","",INDEX(Area,AL50)*RentPsf*($L50/Fref)^RentElasticity)</f>
        <v>55435.1351952084</v>
      </c>
      <c r="P50" s="39">
        <f>IF($C50="","",$O50+INDEX(RunOther,AL50))</f>
        <v>256393.564528542</v>
      </c>
      <c r="Q50" s="95">
        <f>IF($C50="","",$N50*ContribMargin-$P50-INDEX(LicPlan,AL50))</f>
        <v>36537.1231514583</v>
      </c>
      <c r="R50" s="113">
        <f>IF($C50="","",IF(AND(AO50&gt;=$H50,AO50&gt;0),$H50/AO50,IF(AND(AO50+AP50&gt;=$H50,AP50&gt;0),1+($H50-AO50)/AP50,IF($Q50&gt;0,2+($H50-AO50-AP50)/$Q50,"Never"))))</f>
        <v>12.9642945606541</v>
      </c>
      <c r="S50" s="39">
        <f>IF($C50="","",StockWeeks/52*$N50*(1-GrossMargin))</f>
        <v>30281.9276307692</v>
      </c>
      <c r="U50" s="95">
        <f>IF(OR($C50="",U$21&lt;$B50),0,IF(U$21=$B50,OpenYearShare,1)*($N50*ContribMargin*IF(U$21=$B50,Ramp1,IF(U$21=$B50+1,Ramp2,1))-$P50-INDEX(LicByYear,AL50,U$21)))</f>
        <v>0</v>
      </c>
      <c r="V50" s="95">
        <f>IF(OR($C50="",V$21&lt;$B50),0,IF(V$21=$B50,OpenYearShare,1)*($N50*ContribMargin*IF(V$21=$B50,Ramp1,IF(V$21=$B50+1,Ramp2,1))-$P50-INDEX(LicByYear,AL50,V$21)))</f>
        <v>0</v>
      </c>
      <c r="W50" s="95">
        <f>IF(OR($C50="",W$21&lt;$B50),0,IF(W$21=$B50,OpenYearShare,1)*($N50*ContribMargin*IF(W$21=$B50,Ramp1,IF(W$21=$B50+1,Ramp2,1))-$P50-INDEX(LicByYear,AL50,W$21)))</f>
        <v>0</v>
      </c>
      <c r="X50" s="95">
        <f>IF(OR($C50="",X$21&lt;$B50),0,IF(X$21=$B50,OpenYearShare,1)*($N50*ContribMargin*IF(X$21=$B50,Ramp1,IF(X$21=$B50+1,Ramp2,1))-$P50-INDEX(LicByYear,AL50,X$21)))</f>
        <v>0</v>
      </c>
      <c r="Y50" s="95">
        <f>IF(OR($C50="",Y$21&lt;$B50),0,IF(Y$21=$B50,OpenYearShare,1)*($N50*ContribMargin*IF(Y$21=$B50,Ramp1,IF(Y$21=$B50+1,Ramp2,1))-$P50-INDEX(LicByYear,AL50,Y$21)))</f>
        <v>-18989.0243842709</v>
      </c>
      <c r="Z50" s="95">
        <f>IF(OR($C50="",Z$21&lt;$B50),0,IF(Z$21=$B50,OpenYearShare,1)*($N50*ContribMargin*IF(Z$21=$B50,Ramp1,IF(Z$21=$B50+1,Ramp2,1))-$P50-INDEX(LicByYear,AL50,Z$21)))</f>
        <v>12692.2681370583</v>
      </c>
      <c r="AA50" s="95">
        <f>IF(OR($C50="",AA$21&lt;$B50),0,IF(AA$21=$B50,OpenYearShare,1)*($N50*ContribMargin*IF(AA$21=$B50,Ramp1,IF(AA$21=$B50+1,Ramp2,1))-$P50-INDEX(LicByYear,AL50,AA$21)))</f>
        <v>36537.1231514583</v>
      </c>
      <c r="AB50" s="95">
        <f>IF(OR($C50="",AB$21&lt;$B50),0,IF(AB$21=$B50,OpenYearShare,1)*($N50*ContribMargin*IF(AB$21=$B50,Ramp1,IF(AB$21=$B50+1,Ramp2,1))-$P50-INDEX(LicByYear,AL50,AB$21)))</f>
        <v>36537.1231514583</v>
      </c>
      <c r="AC50" s="95">
        <f>IF(OR($C50="",AC$21&lt;$B50),0,IF(AC$21=$B50,OpenYearShare,1)*($N50*ContribMargin*IF(AC$21=$B50,Ramp1,IF(AC$21=$B50+1,Ramp2,1))-$P50-INDEX(LicByYear,AL50,AC$21)))</f>
        <v>36537.1231514583</v>
      </c>
      <c r="AD50" s="95">
        <f>IF(OR($C50="",AD$21&lt;$B50),0,IF(AD$21=$B50,OpenYearShare,1)*($N50*ContribMargin*IF(AD$21=$B50,Ramp1,IF(AD$21=$B50+1,Ramp2,1))-$P50-INDEX(LicByYear,AL50,AD$21)))</f>
        <v>36537.1231514583</v>
      </c>
      <c r="AF50" s="82">
        <f>AF49+IF($C50="SPLUS",1,0)</f>
        <v>7</v>
      </c>
      <c r="AG50" s="82">
        <f>AG49+IF($C50="S",1,0)</f>
        <v>14</v>
      </c>
      <c r="AH50" s="82">
        <f>AH49+IF($C50="D",1,0)</f>
        <v>8</v>
      </c>
      <c r="AI50" s="105">
        <f>IF(OR($A50&gt;PlanStores,AF49&gt;=INDEX(Target,1)),-1000000000,INDEX(Target,1)*$A50-AF49*PlanStores)</f>
        <v>-1000000000</v>
      </c>
      <c r="AJ50" s="105">
        <f>IF(OR($A50&gt;PlanStores,AG49&gt;=INDEX(Target,2)),-1000000000,INDEX(Target,2)*$A50-AG49*PlanStores)</f>
        <v>15</v>
      </c>
      <c r="AK50" s="105">
        <f>IF(OR($A50&gt;PlanStores,AH49&gt;=INDEX(Target,3)),-1000000000,INDEX(Target,3)*$A50-AH49*PlanStores)</f>
        <v>22</v>
      </c>
      <c r="AL50" s="82">
        <f>IF($C50="","",MATCH($C50,TierCodes,0))</f>
        <v>3</v>
      </c>
      <c r="AM50" s="82">
        <f>IF($C50="","",IF(OR(StreetChoice="Typical street for its size",INDEX(Cand,AL50)=0),"",MOD($D50-1,INDEX(Cand,AL50))+1))</f>
        <v>8</v>
      </c>
      <c r="AN50" s="82">
        <f>IF(AM50="","",MATCH($C50&amp;"|"&amp;AM50,Melbourne!$AA$58:$AA$135,0))</f>
        <v>55</v>
      </c>
      <c r="AO50" s="76">
        <f>IF($C50="","",Ramp1*$N50*ContribMargin-$P50-INDEX(LicPlan,AL50))</f>
        <v>-37978.0487685417</v>
      </c>
      <c r="AP50" s="76">
        <f>IF($C50="","",Ramp2*$N50*ContribMargin-$P50-INDEX(LicPlan,AL50))</f>
        <v>12692.2681370583</v>
      </c>
      <c r="AR50" s="61">
        <f>IF($C50="","",MAX(Scale!$C$7,($D50+Scale!$C$8*($A50-$D50))^LOG(Scale!$C$6,2)))</f>
        <v>0.825953071426087</v>
      </c>
      <c r="AS50" s="61">
        <f>IF($C50="","",1-IF(IF(Deal="Commit to the full plan",PlanStores,$A50)&gt;=PBAt4,Scale!$C$12,IF(IF(Deal="Commit to the full plan",PlanStores,$A50)&gt;=PBAt3,Scale!$C$11,IF(IF(Deal="Commit to the full plan",PlanStores,$A50)&gt;=PBAt2,Scale!$C$10,IF(IF(Deal="Commit to the full plan",PlanStores,$A50)&gt;=PBAt1,Scale!$C$9,0)))))</f>
        <v>0.94</v>
      </c>
      <c r="AT50" s="61">
        <f>IF($C50="","",MAX(Scale!$D$7,($D50+Scale!$D$8*($A50-$D50))^LOG(Scale!$D$6,2)))</f>
        <v>0.7</v>
      </c>
      <c r="AU50" s="61">
        <f>IF($C50="","",1-IF(IF(Deal="Commit to the full plan",PlanStores,$A50)&gt;=PBAt4,Scale!$D$12,IF(IF(Deal="Commit to the full plan",PlanStores,$A50)&gt;=PBAt3,Scale!$D$11,IF(IF(Deal="Commit to the full plan",PlanStores,$A50)&gt;=PBAt2,Scale!$D$10,IF(IF(Deal="Commit to the full plan",PlanStores,$A50)&gt;=PBAt1,Scale!$D$9,0)))))</f>
        <v>0.9</v>
      </c>
      <c r="AV50" s="61">
        <f>IF($C50="","",MAX(Scale!$E$7,($D50+Scale!$E$8*($A50-$D50))^LOG(Scale!$E$6,2)))</f>
        <v>0.6</v>
      </c>
      <c r="AW50" s="61">
        <f>IF($C50="","",1-IF(IF(Deal="Commit to the full plan",PlanStores,$A50)&gt;=PBAt4,Scale!$E$12,IF(IF(Deal="Commit to the full plan",PlanStores,$A50)&gt;=PBAt3,Scale!$E$11,IF(IF(Deal="Commit to the full plan",PlanStores,$A50)&gt;=PBAt2,Scale!$E$10,IF(IF(Deal="Commit to the full plan",PlanStores,$A50)&gt;=PBAt1,Scale!$E$9,0)))))</f>
        <v>0.87</v>
      </c>
    </row>
    <row r="51">
      <c r="A51" s="110" t="n">
        <v>30</v>
      </c>
      <c r="B51" s="111">
        <f>IF($A51&gt;PlanStores,"",1+COUNTIF(CumOpenings,"&lt;"&amp;$A51))</f>
        <v>5</v>
      </c>
      <c r="C51" s="14" t="str">
        <f>IF($A51&gt;PlanStores,"",IF(AND($A51=1,FlagshipFirst="Yes",INDEX(Target,1)&gt;0),"SPLUS",IF(AND(AI51&gt;=AJ51,AI51&gt;=AK51),"SPLUS",IF(AJ51&gt;=AK51,"S","D"))))</f>
        <v>S</v>
      </c>
      <c r="D51" s="111">
        <f>IF($C51="","",IF($C51="SPLUS",AF51,IF($C51="S",AG51,AH51)))</f>
        <v>15</v>
      </c>
      <c r="E51" s="112">
        <f>IF($C51="","",$D51+LearnShared*($A51-$D51))</f>
        <v>22.5</v>
      </c>
      <c r="F51" s="85">
        <f>IF($C51="","",MAX(LearnFloor,$E51^LOG(LearnRate,2)))</f>
        <v>0.7</v>
      </c>
      <c r="G51" s="85">
        <f>IF($C51="","",1-IF(IF(Deal="Commit to the full plan",PlanStores,$A51)&gt;=PBAt4,PBDisc4,IF(IF(Deal="Commit to the full plan",PlanStores,$A51)&gt;=PBAt3,PBDisc3,IF(IF(Deal="Commit to the full plan",PlanStores,$A51)&gt;=PBAt2,PBDisc2,IF(IF(Deal="Commit to the full plan",PlanStores,$A51)&gt;=PBAt1,PBDisc1,0)))))</f>
        <v>0.86</v>
      </c>
      <c r="H51" s="39">
        <f>IF($C51="","",INDEX(BaseL,AL51)*$F51+INDEX(BaseV,AL51)*$G51+INDEX(BaseN,AL51))</f>
        <v>649789.5</v>
      </c>
      <c r="I51" s="39">
        <f>IF($C51="","",$H51*(1+BuildInflation)^($B51-1))</f>
        <v>731343.806895495</v>
      </c>
      <c r="J51" s="40" t="str">
        <f>IF($C51="","",IF(AN51="",IF(INDEX(Cand,AL51)=0,"No street of this size","Typical "&amp;LOWER(INDEX(TierNames,AL51))&amp;" street"),INDEX(Melbourne!$B$58:$B$135,AN51)))</f>
        <v>231 Bourke St</v>
      </c>
      <c r="K51" s="40" t="str">
        <f>IF(OR($C51="",AN51=""),"",INDEX(Melbourne!$C$58:$C$135,AN51))</f>
        <v>CBD Core / All-Day</v>
      </c>
      <c r="L51" s="46">
        <f>IF($C51="","",IF(AN51="",INDEX(TypicalF,AL51),INDEX(Melbourne!$E$58:$E$135,AN51)))</f>
        <v>3804040</v>
      </c>
      <c r="M51" s="86">
        <f>IF($C51="","",IF(AN51="",INDEX(TypicalQ,AL51),INDEX(Melbourne!$N$58:$N$135,AN51)))</f>
        <v>1</v>
      </c>
      <c r="N51" s="39">
        <f>IF($C51="","",MIN($L51*Capture*$M51*Conversion*Ticket,INDEX(CapacityPsf,AL51)*INDEX(Area,AL51)))</f>
        <v>1825939.2</v>
      </c>
      <c r="O51" s="39">
        <f>IF($C51="","",INDEX(Area,AL51)*RentPsf*($L51/Fref)^RentElasticity)</f>
        <v>159636.458082801</v>
      </c>
      <c r="P51" s="39">
        <f>IF($C51="","",$O51+INDEX(RunOther,AL51))</f>
        <v>464222.031416135</v>
      </c>
      <c r="Q51" s="95">
        <f>IF($C51="","",$N51*ContribMargin-$P51-INDEX(LicPlan,AL51))</f>
        <v>494975.744583866</v>
      </c>
      <c r="R51" s="113">
        <f>IF($C51="","",IF(AND(AO51&gt;=$H51,AO51&gt;0),$H51/AO51,IF(AND(AO51+AP51&gt;=$H51,AP51&gt;0),1+($H51-AO51)/AP51,IF($Q51&gt;0,2+($H51-AO51-AP51)/$Q51,"Never"))))</f>
        <v>1.95017380435422</v>
      </c>
      <c r="S51" s="39">
        <f>IF($C51="","",StockWeeks/52*$N51*(1-GrossMargin))</f>
        <v>98319.8030769231</v>
      </c>
      <c r="U51" s="95">
        <f>IF(OR($C51="",U$21&lt;$B51),0,IF(U$21=$B51,OpenYearShare,1)*($N51*ContribMargin*IF(U$21=$B51,Ramp1,IF(U$21=$B51+1,Ramp2,1))-$P51-INDEX(LicByYear,AL51,U$21)))</f>
        <v>0</v>
      </c>
      <c r="V51" s="95">
        <f>IF(OR($C51="",V$21&lt;$B51),0,IF(V$21=$B51,OpenYearShare,1)*($N51*ContribMargin*IF(V$21=$B51,Ramp1,IF(V$21=$B51+1,Ramp2,1))-$P51-INDEX(LicByYear,AL51,V$21)))</f>
        <v>0</v>
      </c>
      <c r="W51" s="95">
        <f>IF(OR($C51="",W$21&lt;$B51),0,IF(W$21=$B51,OpenYearShare,1)*($N51*ContribMargin*IF(W$21=$B51,Ramp1,IF(W$21=$B51+1,Ramp2,1))-$P51-INDEX(LicByYear,AL51,W$21)))</f>
        <v>0</v>
      </c>
      <c r="X51" s="95">
        <f>IF(OR($C51="",X$21&lt;$B51),0,IF(X$21=$B51,OpenYearShare,1)*($N51*ContribMargin*IF(X$21=$B51,Ramp1,IF(X$21=$B51+1,Ramp2,1))-$P51-INDEX(LicByYear,AL51,X$21)))</f>
        <v>0</v>
      </c>
      <c r="Y51" s="95">
        <f>IF(OR($C51="",Y$21&lt;$B51),0,IF(Y$21=$B51,OpenYearShare,1)*($N51*ContribMargin*IF(Y$21=$B51,Ramp1,IF(Y$21=$B51+1,Ramp2,1))-$P51-INDEX(LicByYear,AL51,Y$21)))</f>
        <v>126519.400291933</v>
      </c>
      <c r="Z51" s="95">
        <f>IF(OR($C51="",Z$21&lt;$B51),0,IF(Z$21=$B51,OpenYearShare,1)*($N51*ContribMargin*IF(Z$21=$B51,Ramp1,IF(Z$21=$B51+1,Ramp2,1))-$P51-INDEX(LicByYear,AL51,Z$21)))</f>
        <v>417555.922503866</v>
      </c>
      <c r="AA51" s="95">
        <f>IF(OR($C51="",AA$21&lt;$B51),0,IF(AA$21=$B51,OpenYearShare,1)*($N51*ContribMargin*IF(AA$21=$B51,Ramp1,IF(AA$21=$B51+1,Ramp2,1))-$P51-INDEX(LicByYear,AL51,AA$21)))</f>
        <v>494975.744583866</v>
      </c>
      <c r="AB51" s="95">
        <f>IF(OR($C51="",AB$21&lt;$B51),0,IF(AB$21=$B51,OpenYearShare,1)*($N51*ContribMargin*IF(AB$21=$B51,Ramp1,IF(AB$21=$B51+1,Ramp2,1))-$P51-INDEX(LicByYear,AL51,AB$21)))</f>
        <v>494975.744583866</v>
      </c>
      <c r="AC51" s="95">
        <f>IF(OR($C51="",AC$21&lt;$B51),0,IF(AC$21=$B51,OpenYearShare,1)*($N51*ContribMargin*IF(AC$21=$B51,Ramp1,IF(AC$21=$B51+1,Ramp2,1))-$P51-INDEX(LicByYear,AL51,AC$21)))</f>
        <v>494975.744583866</v>
      </c>
      <c r="AD51" s="95">
        <f>IF(OR($C51="",AD$21&lt;$B51),0,IF(AD$21=$B51,OpenYearShare,1)*($N51*ContribMargin*IF(AD$21=$B51,Ramp1,IF(AD$21=$B51+1,Ramp2,1))-$P51-INDEX(LicByYear,AL51,AD$21)))</f>
        <v>494975.744583866</v>
      </c>
      <c r="AF51" s="82">
        <f>AF50+IF($C51="SPLUS",1,0)</f>
        <v>7</v>
      </c>
      <c r="AG51" s="82">
        <f>AG50+IF($C51="S",1,0)</f>
        <v>15</v>
      </c>
      <c r="AH51" s="82">
        <f>AH50+IF($C51="D",1,0)</f>
        <v>8</v>
      </c>
      <c r="AI51" s="105">
        <f>IF(OR($A51&gt;PlanStores,AF50&gt;=INDEX(Target,1)),-1000000000,INDEX(Target,1)*$A51-AF50*PlanStores)</f>
        <v>-1000000000</v>
      </c>
      <c r="AJ51" s="105">
        <f>IF(OR($A51&gt;PlanStores,AG50&gt;=INDEX(Target,2)),-1000000000,INDEX(Target,2)*$A51-AG50*PlanStores)</f>
        <v>30</v>
      </c>
      <c r="AK51" s="105">
        <f>IF(OR($A51&gt;PlanStores,AH50&gt;=INDEX(Target,3)),-1000000000,INDEX(Target,3)*$A51-AH50*PlanStores)</f>
        <v>-1000000000</v>
      </c>
      <c r="AL51" s="82">
        <f>IF($C51="","",MATCH($C51,TierCodes,0))</f>
        <v>2</v>
      </c>
      <c r="AM51" s="82">
        <f>IF($C51="","",IF(OR(StreetChoice="Typical street for its size",INDEX(Cand,AL51)=0),"",MOD($D51-1,INDEX(Cand,AL51))+1))</f>
        <v>15</v>
      </c>
      <c r="AN51" s="82">
        <f>IF(AM51="","",MATCH($C51&amp;"|"&amp;AM51,Melbourne!$AA$58:$AA$135,0))</f>
        <v>29</v>
      </c>
      <c r="AO51" s="76">
        <f>IF($C51="","",Ramp1*$N51*ContribMargin-$P51-INDEX(LicPlan,AL51))</f>
        <v>253038.800583866</v>
      </c>
      <c r="AP51" s="76">
        <f>IF($C51="","",Ramp2*$N51*ContribMargin-$P51-INDEX(LicPlan,AL51))</f>
        <v>417555.922503866</v>
      </c>
      <c r="AR51" s="61">
        <f>IF($C51="","",MAX(Scale!$C$7,($D51+Scale!$C$8*($A51-$D51))^LOG(Scale!$C$6,2)))</f>
        <v>0.805002382449641</v>
      </c>
      <c r="AS51" s="61">
        <f>IF($C51="","",1-IF(IF(Deal="Commit to the full plan",PlanStores,$A51)&gt;=PBAt4,Scale!$C$12,IF(IF(Deal="Commit to the full plan",PlanStores,$A51)&gt;=PBAt3,Scale!$C$11,IF(IF(Deal="Commit to the full plan",PlanStores,$A51)&gt;=PBAt2,Scale!$C$10,IF(IF(Deal="Commit to the full plan",PlanStores,$A51)&gt;=PBAt1,Scale!$C$9,0)))))</f>
        <v>0.92</v>
      </c>
      <c r="AT51" s="61">
        <f>IF($C51="","",MAX(Scale!$D$7,($D51+Scale!$D$8*($A51-$D51))^LOG(Scale!$D$6,2)))</f>
        <v>0.7</v>
      </c>
      <c r="AU51" s="61">
        <f>IF($C51="","",1-IF(IF(Deal="Commit to the full plan",PlanStores,$A51)&gt;=PBAt4,Scale!$D$12,IF(IF(Deal="Commit to the full plan",PlanStores,$A51)&gt;=PBAt3,Scale!$D$11,IF(IF(Deal="Commit to the full plan",PlanStores,$A51)&gt;=PBAt2,Scale!$D$10,IF(IF(Deal="Commit to the full plan",PlanStores,$A51)&gt;=PBAt1,Scale!$D$9,0)))))</f>
        <v>0.86</v>
      </c>
      <c r="AV51" s="61">
        <f>IF($C51="","",MAX(Scale!$E$7,($D51+Scale!$E$8*($A51-$D51))^LOG(Scale!$E$6,2)))</f>
        <v>0.6</v>
      </c>
      <c r="AW51" s="61">
        <f>IF($C51="","",1-IF(IF(Deal="Commit to the full plan",PlanStores,$A51)&gt;=PBAt4,Scale!$E$12,IF(IF(Deal="Commit to the full plan",PlanStores,$A51)&gt;=PBAt3,Scale!$E$11,IF(IF(Deal="Commit to the full plan",PlanStores,$A51)&gt;=PBAt2,Scale!$E$10,IF(IF(Deal="Commit to the full plan",PlanStores,$A51)&gt;=PBAt1,Scale!$E$9,0)))))</f>
        <v>0.83</v>
      </c>
    </row>
    <row r="52">
      <c r="A52" s="110" t="n">
        <v>31</v>
      </c>
      <c r="B52" s="111" t="str">
        <f>IF($A52&gt;PlanStores,"",1+COUNTIF(CumOpenings,"&lt;"&amp;$A52))</f>
        <v/>
      </c>
      <c r="C52" s="14" t="str">
        <f>IF($A52&gt;PlanStores,"",IF(AND($A52=1,FlagshipFirst="Yes",INDEX(Target,1)&gt;0),"SPLUS",IF(AND(AI52&gt;=AJ52,AI52&gt;=AK52),"SPLUS",IF(AJ52&gt;=AK52,"S","D"))))</f>
        <v/>
      </c>
      <c r="D52" s="111" t="str">
        <f>IF($C52="","",IF($C52="SPLUS",AF52,IF($C52="S",AG52,AH52)))</f>
        <v/>
      </c>
      <c r="E52" s="112" t="str">
        <f>IF($C52="","",$D52+LearnShared*($A52-$D52))</f>
        <v/>
      </c>
      <c r="F52" s="85" t="str">
        <f>IF($C52="","",MAX(LearnFloor,$E52^LOG(LearnRate,2)))</f>
        <v/>
      </c>
      <c r="G52" s="85" t="str">
        <f>IF($C52="","",1-IF(IF(Deal="Commit to the full plan",PlanStores,$A52)&gt;=PBAt4,PBDisc4,IF(IF(Deal="Commit to the full plan",PlanStores,$A52)&gt;=PBAt3,PBDisc3,IF(IF(Deal="Commit to the full plan",PlanStores,$A52)&gt;=PBAt2,PBDisc2,IF(IF(Deal="Commit to the full plan",PlanStores,$A52)&gt;=PBAt1,PBDisc1,0)))))</f>
        <v/>
      </c>
      <c r="H52" s="39" t="str">
        <f>IF($C52="","",INDEX(BaseL,AL52)*$F52+INDEX(BaseV,AL52)*$G52+INDEX(BaseN,AL52))</f>
        <v/>
      </c>
      <c r="I52" s="39" t="str">
        <f>IF($C52="","",$H52*(1+BuildInflation)^($B52-1))</f>
        <v/>
      </c>
      <c r="J52" s="40" t="str">
        <f>IF($C52="","",IF(AN52="",IF(INDEX(Cand,AL52)=0,"No street of this size","Typical "&amp;LOWER(INDEX(TierNames,AL52))&amp;" street"),INDEX(Melbourne!$B$58:$B$135,AN52)))</f>
        <v/>
      </c>
      <c r="K52" s="40" t="str">
        <f>IF(OR($C52="",AN52=""),"",INDEX(Melbourne!$C$58:$C$135,AN52))</f>
        <v/>
      </c>
      <c r="L52" s="46" t="str">
        <f>IF($C52="","",IF(AN52="",INDEX(TypicalF,AL52),INDEX(Melbourne!$E$58:$E$135,AN52)))</f>
        <v/>
      </c>
      <c r="M52" s="86" t="str">
        <f>IF($C52="","",IF(AN52="",INDEX(TypicalQ,AL52),INDEX(Melbourne!$N$58:$N$135,AN52)))</f>
        <v/>
      </c>
      <c r="N52" s="39" t="str">
        <f>IF($C52="","",MIN($L52*Capture*$M52*Conversion*Ticket,INDEX(CapacityPsf,AL52)*INDEX(Area,AL52)))</f>
        <v/>
      </c>
      <c r="O52" s="39" t="str">
        <f>IF($C52="","",INDEX(Area,AL52)*RentPsf*($L52/Fref)^RentElasticity)</f>
        <v/>
      </c>
      <c r="P52" s="39" t="str">
        <f>IF($C52="","",$O52+INDEX(RunOther,AL52))</f>
        <v/>
      </c>
      <c r="Q52" s="95" t="str">
        <f>IF($C52="","",$N52*ContribMargin-$P52-INDEX(LicPlan,AL52))</f>
        <v/>
      </c>
      <c r="R52" s="113" t="str">
        <f>IF($C52="","",IF(AND(AO52&gt;=$H52,AO52&gt;0),$H52/AO52,IF(AND(AO52+AP52&gt;=$H52,AP52&gt;0),1+($H52-AO52)/AP52,IF($Q52&gt;0,2+($H52-AO52-AP52)/$Q52,"Never"))))</f>
        <v/>
      </c>
      <c r="S52" s="39" t="str">
        <f>IF($C52="","",StockWeeks/52*$N52*(1-GrossMargin))</f>
        <v/>
      </c>
      <c r="U52" s="95">
        <f>IF(OR($C52="",U$21&lt;$B52),0,IF(U$21=$B52,OpenYearShare,1)*($N52*ContribMargin*IF(U$21=$B52,Ramp1,IF(U$21=$B52+1,Ramp2,1))-$P52-INDEX(LicByYear,AL52,U$21)))</f>
        <v>0</v>
      </c>
      <c r="V52" s="95">
        <f>IF(OR($C52="",V$21&lt;$B52),0,IF(V$21=$B52,OpenYearShare,1)*($N52*ContribMargin*IF(V$21=$B52,Ramp1,IF(V$21=$B52+1,Ramp2,1))-$P52-INDEX(LicByYear,AL52,V$21)))</f>
        <v>0</v>
      </c>
      <c r="W52" s="95">
        <f>IF(OR($C52="",W$21&lt;$B52),0,IF(W$21=$B52,OpenYearShare,1)*($N52*ContribMargin*IF(W$21=$B52,Ramp1,IF(W$21=$B52+1,Ramp2,1))-$P52-INDEX(LicByYear,AL52,W$21)))</f>
        <v>0</v>
      </c>
      <c r="X52" s="95">
        <f>IF(OR($C52="",X$21&lt;$B52),0,IF(X$21=$B52,OpenYearShare,1)*($N52*ContribMargin*IF(X$21=$B52,Ramp1,IF(X$21=$B52+1,Ramp2,1))-$P52-INDEX(LicByYear,AL52,X$21)))</f>
        <v>0</v>
      </c>
      <c r="Y52" s="95">
        <f>IF(OR($C52="",Y$21&lt;$B52),0,IF(Y$21=$B52,OpenYearShare,1)*($N52*ContribMargin*IF(Y$21=$B52,Ramp1,IF(Y$21=$B52+1,Ramp2,1))-$P52-INDEX(LicByYear,AL52,Y$21)))</f>
        <v>0</v>
      </c>
      <c r="Z52" s="95">
        <f>IF(OR($C52="",Z$21&lt;$B52),0,IF(Z$21=$B52,OpenYearShare,1)*($N52*ContribMargin*IF(Z$21=$B52,Ramp1,IF(Z$21=$B52+1,Ramp2,1))-$P52-INDEX(LicByYear,AL52,Z$21)))</f>
        <v>0</v>
      </c>
      <c r="AA52" s="95">
        <f>IF(OR($C52="",AA$21&lt;$B52),0,IF(AA$21=$B52,OpenYearShare,1)*($N52*ContribMargin*IF(AA$21=$B52,Ramp1,IF(AA$21=$B52+1,Ramp2,1))-$P52-INDEX(LicByYear,AL52,AA$21)))</f>
        <v>0</v>
      </c>
      <c r="AB52" s="95">
        <f>IF(OR($C52="",AB$21&lt;$B52),0,IF(AB$21=$B52,OpenYearShare,1)*($N52*ContribMargin*IF(AB$21=$B52,Ramp1,IF(AB$21=$B52+1,Ramp2,1))-$P52-INDEX(LicByYear,AL52,AB$21)))</f>
        <v>0</v>
      </c>
      <c r="AC52" s="95">
        <f>IF(OR($C52="",AC$21&lt;$B52),0,IF(AC$21=$B52,OpenYearShare,1)*($N52*ContribMargin*IF(AC$21=$B52,Ramp1,IF(AC$21=$B52+1,Ramp2,1))-$P52-INDEX(LicByYear,AL52,AC$21)))</f>
        <v>0</v>
      </c>
      <c r="AD52" s="95">
        <f>IF(OR($C52="",AD$21&lt;$B52),0,IF(AD$21=$B52,OpenYearShare,1)*($N52*ContribMargin*IF(AD$21=$B52,Ramp1,IF(AD$21=$B52+1,Ramp2,1))-$P52-INDEX(LicByYear,AL52,AD$21)))</f>
        <v>0</v>
      </c>
      <c r="AF52" s="82">
        <f>AF51+IF($C52="SPLUS",1,0)</f>
        <v>7</v>
      </c>
      <c r="AG52" s="82">
        <f>AG51+IF($C52="S",1,0)</f>
        <v>15</v>
      </c>
      <c r="AH52" s="82">
        <f>AH51+IF($C52="D",1,0)</f>
        <v>8</v>
      </c>
      <c r="AI52" s="105">
        <f>IF(OR($A52&gt;PlanStores,AF51&gt;=INDEX(Target,1)),-1000000000,INDEX(Target,1)*$A52-AF51*PlanStores)</f>
        <v>-1000000000</v>
      </c>
      <c r="AJ52" s="105">
        <f>IF(OR($A52&gt;PlanStores,AG51&gt;=INDEX(Target,2)),-1000000000,INDEX(Target,2)*$A52-AG51*PlanStores)</f>
        <v>-1000000000</v>
      </c>
      <c r="AK52" s="105">
        <f>IF(OR($A52&gt;PlanStores,AH51&gt;=INDEX(Target,3)),-1000000000,INDEX(Target,3)*$A52-AH51*PlanStores)</f>
        <v>-1000000000</v>
      </c>
      <c r="AL52" s="82" t="str">
        <f>IF($C52="","",MATCH($C52,TierCodes,0))</f>
        <v/>
      </c>
      <c r="AM52" s="82" t="str">
        <f>IF($C52="","",IF(OR(StreetChoice="Typical street for its size",INDEX(Cand,AL52)=0),"",MOD($D52-1,INDEX(Cand,AL52))+1))</f>
        <v/>
      </c>
      <c r="AN52" s="82" t="str">
        <f>IF(AM52="","",MATCH($C52&amp;"|"&amp;AM52,Melbourne!$AA$58:$AA$135,0))</f>
        <v/>
      </c>
      <c r="AO52" s="76" t="str">
        <f>IF($C52="","",Ramp1*$N52*ContribMargin-$P52-INDEX(LicPlan,AL52))</f>
        <v/>
      </c>
      <c r="AP52" s="76" t="str">
        <f>IF($C52="","",Ramp2*$N52*ContribMargin-$P52-INDEX(LicPlan,AL52))</f>
        <v/>
      </c>
      <c r="AR52" s="61" t="str">
        <f>IF($C52="","",MAX(Scale!$C$7,($D52+Scale!$C$8*($A52-$D52))^LOG(Scale!$C$6,2)))</f>
        <v/>
      </c>
      <c r="AS52" s="61" t="str">
        <f>IF($C52="","",1-IF(IF(Deal="Commit to the full plan",PlanStores,$A52)&gt;=PBAt4,Scale!$C$12,IF(IF(Deal="Commit to the full plan",PlanStores,$A52)&gt;=PBAt3,Scale!$C$11,IF(IF(Deal="Commit to the full plan",PlanStores,$A52)&gt;=PBAt2,Scale!$C$10,IF(IF(Deal="Commit to the full plan",PlanStores,$A52)&gt;=PBAt1,Scale!$C$9,0)))))</f>
        <v/>
      </c>
      <c r="AT52" s="61" t="str">
        <f>IF($C52="","",MAX(Scale!$D$7,($D52+Scale!$D$8*($A52-$D52))^LOG(Scale!$D$6,2)))</f>
        <v/>
      </c>
      <c r="AU52" s="61" t="str">
        <f>IF($C52="","",1-IF(IF(Deal="Commit to the full plan",PlanStores,$A52)&gt;=PBAt4,Scale!$D$12,IF(IF(Deal="Commit to the full plan",PlanStores,$A52)&gt;=PBAt3,Scale!$D$11,IF(IF(Deal="Commit to the full plan",PlanStores,$A52)&gt;=PBAt2,Scale!$D$10,IF(IF(Deal="Commit to the full plan",PlanStores,$A52)&gt;=PBAt1,Scale!$D$9,0)))))</f>
        <v/>
      </c>
      <c r="AV52" s="61" t="str">
        <f>IF($C52="","",MAX(Scale!$E$7,($D52+Scale!$E$8*($A52-$D52))^LOG(Scale!$E$6,2)))</f>
        <v/>
      </c>
      <c r="AW52" s="61" t="str">
        <f>IF($C52="","",1-IF(IF(Deal="Commit to the full plan",PlanStores,$A52)&gt;=PBAt4,Scale!$E$12,IF(IF(Deal="Commit to the full plan",PlanStores,$A52)&gt;=PBAt3,Scale!$E$11,IF(IF(Deal="Commit to the full plan",PlanStores,$A52)&gt;=PBAt2,Scale!$E$10,IF(IF(Deal="Commit to the full plan",PlanStores,$A52)&gt;=PBAt1,Scale!$E$9,0)))))</f>
        <v/>
      </c>
    </row>
    <row r="53">
      <c r="A53" s="110" t="n">
        <v>32</v>
      </c>
      <c r="B53" s="111" t="str">
        <f>IF($A53&gt;PlanStores,"",1+COUNTIF(CumOpenings,"&lt;"&amp;$A53))</f>
        <v/>
      </c>
      <c r="C53" s="14" t="str">
        <f>IF($A53&gt;PlanStores,"",IF(AND($A53=1,FlagshipFirst="Yes",INDEX(Target,1)&gt;0),"SPLUS",IF(AND(AI53&gt;=AJ53,AI53&gt;=AK53),"SPLUS",IF(AJ53&gt;=AK53,"S","D"))))</f>
        <v/>
      </c>
      <c r="D53" s="111" t="str">
        <f>IF($C53="","",IF($C53="SPLUS",AF53,IF($C53="S",AG53,AH53)))</f>
        <v/>
      </c>
      <c r="E53" s="112" t="str">
        <f>IF($C53="","",$D53+LearnShared*($A53-$D53))</f>
        <v/>
      </c>
      <c r="F53" s="85" t="str">
        <f>IF($C53="","",MAX(LearnFloor,$E53^LOG(LearnRate,2)))</f>
        <v/>
      </c>
      <c r="G53" s="85" t="str">
        <f>IF($C53="","",1-IF(IF(Deal="Commit to the full plan",PlanStores,$A53)&gt;=PBAt4,PBDisc4,IF(IF(Deal="Commit to the full plan",PlanStores,$A53)&gt;=PBAt3,PBDisc3,IF(IF(Deal="Commit to the full plan",PlanStores,$A53)&gt;=PBAt2,PBDisc2,IF(IF(Deal="Commit to the full plan",PlanStores,$A53)&gt;=PBAt1,PBDisc1,0)))))</f>
        <v/>
      </c>
      <c r="H53" s="39" t="str">
        <f>IF($C53="","",INDEX(BaseL,AL53)*$F53+INDEX(BaseV,AL53)*$G53+INDEX(BaseN,AL53))</f>
        <v/>
      </c>
      <c r="I53" s="39" t="str">
        <f>IF($C53="","",$H53*(1+BuildInflation)^($B53-1))</f>
        <v/>
      </c>
      <c r="J53" s="40" t="str">
        <f>IF($C53="","",IF(AN53="",IF(INDEX(Cand,AL53)=0,"No street of this size","Typical "&amp;LOWER(INDEX(TierNames,AL53))&amp;" street"),INDEX(Melbourne!$B$58:$B$135,AN53)))</f>
        <v/>
      </c>
      <c r="K53" s="40" t="str">
        <f>IF(OR($C53="",AN53=""),"",INDEX(Melbourne!$C$58:$C$135,AN53))</f>
        <v/>
      </c>
      <c r="L53" s="46" t="str">
        <f>IF($C53="","",IF(AN53="",INDEX(TypicalF,AL53),INDEX(Melbourne!$E$58:$E$135,AN53)))</f>
        <v/>
      </c>
      <c r="M53" s="86" t="str">
        <f>IF($C53="","",IF(AN53="",INDEX(TypicalQ,AL53),INDEX(Melbourne!$N$58:$N$135,AN53)))</f>
        <v/>
      </c>
      <c r="N53" s="39" t="str">
        <f>IF($C53="","",MIN($L53*Capture*$M53*Conversion*Ticket,INDEX(CapacityPsf,AL53)*INDEX(Area,AL53)))</f>
        <v/>
      </c>
      <c r="O53" s="39" t="str">
        <f>IF($C53="","",INDEX(Area,AL53)*RentPsf*($L53/Fref)^RentElasticity)</f>
        <v/>
      </c>
      <c r="P53" s="39" t="str">
        <f>IF($C53="","",$O53+INDEX(RunOther,AL53))</f>
        <v/>
      </c>
      <c r="Q53" s="95" t="str">
        <f>IF($C53="","",$N53*ContribMargin-$P53-INDEX(LicPlan,AL53))</f>
        <v/>
      </c>
      <c r="R53" s="113" t="str">
        <f>IF($C53="","",IF(AND(AO53&gt;=$H53,AO53&gt;0),$H53/AO53,IF(AND(AO53+AP53&gt;=$H53,AP53&gt;0),1+($H53-AO53)/AP53,IF($Q53&gt;0,2+($H53-AO53-AP53)/$Q53,"Never"))))</f>
        <v/>
      </c>
      <c r="S53" s="39" t="str">
        <f>IF($C53="","",StockWeeks/52*$N53*(1-GrossMargin))</f>
        <v/>
      </c>
      <c r="U53" s="95">
        <f>IF(OR($C53="",U$21&lt;$B53),0,IF(U$21=$B53,OpenYearShare,1)*($N53*ContribMargin*IF(U$21=$B53,Ramp1,IF(U$21=$B53+1,Ramp2,1))-$P53-INDEX(LicByYear,AL53,U$21)))</f>
        <v>0</v>
      </c>
      <c r="V53" s="95">
        <f>IF(OR($C53="",V$21&lt;$B53),0,IF(V$21=$B53,OpenYearShare,1)*($N53*ContribMargin*IF(V$21=$B53,Ramp1,IF(V$21=$B53+1,Ramp2,1))-$P53-INDEX(LicByYear,AL53,V$21)))</f>
        <v>0</v>
      </c>
      <c r="W53" s="95">
        <f>IF(OR($C53="",W$21&lt;$B53),0,IF(W$21=$B53,OpenYearShare,1)*($N53*ContribMargin*IF(W$21=$B53,Ramp1,IF(W$21=$B53+1,Ramp2,1))-$P53-INDEX(LicByYear,AL53,W$21)))</f>
        <v>0</v>
      </c>
      <c r="X53" s="95">
        <f>IF(OR($C53="",X$21&lt;$B53),0,IF(X$21=$B53,OpenYearShare,1)*($N53*ContribMargin*IF(X$21=$B53,Ramp1,IF(X$21=$B53+1,Ramp2,1))-$P53-INDEX(LicByYear,AL53,X$21)))</f>
        <v>0</v>
      </c>
      <c r="Y53" s="95">
        <f>IF(OR($C53="",Y$21&lt;$B53),0,IF(Y$21=$B53,OpenYearShare,1)*($N53*ContribMargin*IF(Y$21=$B53,Ramp1,IF(Y$21=$B53+1,Ramp2,1))-$P53-INDEX(LicByYear,AL53,Y$21)))</f>
        <v>0</v>
      </c>
      <c r="Z53" s="95">
        <f>IF(OR($C53="",Z$21&lt;$B53),0,IF(Z$21=$B53,OpenYearShare,1)*($N53*ContribMargin*IF(Z$21=$B53,Ramp1,IF(Z$21=$B53+1,Ramp2,1))-$P53-INDEX(LicByYear,AL53,Z$21)))</f>
        <v>0</v>
      </c>
      <c r="AA53" s="95">
        <f>IF(OR($C53="",AA$21&lt;$B53),0,IF(AA$21=$B53,OpenYearShare,1)*($N53*ContribMargin*IF(AA$21=$B53,Ramp1,IF(AA$21=$B53+1,Ramp2,1))-$P53-INDEX(LicByYear,AL53,AA$21)))</f>
        <v>0</v>
      </c>
      <c r="AB53" s="95">
        <f>IF(OR($C53="",AB$21&lt;$B53),0,IF(AB$21=$B53,OpenYearShare,1)*($N53*ContribMargin*IF(AB$21=$B53,Ramp1,IF(AB$21=$B53+1,Ramp2,1))-$P53-INDEX(LicByYear,AL53,AB$21)))</f>
        <v>0</v>
      </c>
      <c r="AC53" s="95">
        <f>IF(OR($C53="",AC$21&lt;$B53),0,IF(AC$21=$B53,OpenYearShare,1)*($N53*ContribMargin*IF(AC$21=$B53,Ramp1,IF(AC$21=$B53+1,Ramp2,1))-$P53-INDEX(LicByYear,AL53,AC$21)))</f>
        <v>0</v>
      </c>
      <c r="AD53" s="95">
        <f>IF(OR($C53="",AD$21&lt;$B53),0,IF(AD$21=$B53,OpenYearShare,1)*($N53*ContribMargin*IF(AD$21=$B53,Ramp1,IF(AD$21=$B53+1,Ramp2,1))-$P53-INDEX(LicByYear,AL53,AD$21)))</f>
        <v>0</v>
      </c>
      <c r="AF53" s="82">
        <f>AF52+IF($C53="SPLUS",1,0)</f>
        <v>7</v>
      </c>
      <c r="AG53" s="82">
        <f>AG52+IF($C53="S",1,0)</f>
        <v>15</v>
      </c>
      <c r="AH53" s="82">
        <f>AH52+IF($C53="D",1,0)</f>
        <v>8</v>
      </c>
      <c r="AI53" s="105">
        <f>IF(OR($A53&gt;PlanStores,AF52&gt;=INDEX(Target,1)),-1000000000,INDEX(Target,1)*$A53-AF52*PlanStores)</f>
        <v>-1000000000</v>
      </c>
      <c r="AJ53" s="105">
        <f>IF(OR($A53&gt;PlanStores,AG52&gt;=INDEX(Target,2)),-1000000000,INDEX(Target,2)*$A53-AG52*PlanStores)</f>
        <v>-1000000000</v>
      </c>
      <c r="AK53" s="105">
        <f>IF(OR($A53&gt;PlanStores,AH52&gt;=INDEX(Target,3)),-1000000000,INDEX(Target,3)*$A53-AH52*PlanStores)</f>
        <v>-1000000000</v>
      </c>
      <c r="AL53" s="82" t="str">
        <f>IF($C53="","",MATCH($C53,TierCodes,0))</f>
        <v/>
      </c>
      <c r="AM53" s="82" t="str">
        <f>IF($C53="","",IF(OR(StreetChoice="Typical street for its size",INDEX(Cand,AL53)=0),"",MOD($D53-1,INDEX(Cand,AL53))+1))</f>
        <v/>
      </c>
      <c r="AN53" s="82" t="str">
        <f>IF(AM53="","",MATCH($C53&amp;"|"&amp;AM53,Melbourne!$AA$58:$AA$135,0))</f>
        <v/>
      </c>
      <c r="AO53" s="76" t="str">
        <f>IF($C53="","",Ramp1*$N53*ContribMargin-$P53-INDEX(LicPlan,AL53))</f>
        <v/>
      </c>
      <c r="AP53" s="76" t="str">
        <f>IF($C53="","",Ramp2*$N53*ContribMargin-$P53-INDEX(LicPlan,AL53))</f>
        <v/>
      </c>
      <c r="AR53" s="61" t="str">
        <f>IF($C53="","",MAX(Scale!$C$7,($D53+Scale!$C$8*($A53-$D53))^LOG(Scale!$C$6,2)))</f>
        <v/>
      </c>
      <c r="AS53" s="61" t="str">
        <f>IF($C53="","",1-IF(IF(Deal="Commit to the full plan",PlanStores,$A53)&gt;=PBAt4,Scale!$C$12,IF(IF(Deal="Commit to the full plan",PlanStores,$A53)&gt;=PBAt3,Scale!$C$11,IF(IF(Deal="Commit to the full plan",PlanStores,$A53)&gt;=PBAt2,Scale!$C$10,IF(IF(Deal="Commit to the full plan",PlanStores,$A53)&gt;=PBAt1,Scale!$C$9,0)))))</f>
        <v/>
      </c>
      <c r="AT53" s="61" t="str">
        <f>IF($C53="","",MAX(Scale!$D$7,($D53+Scale!$D$8*($A53-$D53))^LOG(Scale!$D$6,2)))</f>
        <v/>
      </c>
      <c r="AU53" s="61" t="str">
        <f>IF($C53="","",1-IF(IF(Deal="Commit to the full plan",PlanStores,$A53)&gt;=PBAt4,Scale!$D$12,IF(IF(Deal="Commit to the full plan",PlanStores,$A53)&gt;=PBAt3,Scale!$D$11,IF(IF(Deal="Commit to the full plan",PlanStores,$A53)&gt;=PBAt2,Scale!$D$10,IF(IF(Deal="Commit to the full plan",PlanStores,$A53)&gt;=PBAt1,Scale!$D$9,0)))))</f>
        <v/>
      </c>
      <c r="AV53" s="61" t="str">
        <f>IF($C53="","",MAX(Scale!$E$7,($D53+Scale!$E$8*($A53-$D53))^LOG(Scale!$E$6,2)))</f>
        <v/>
      </c>
      <c r="AW53" s="61" t="str">
        <f>IF($C53="","",1-IF(IF(Deal="Commit to the full plan",PlanStores,$A53)&gt;=PBAt4,Scale!$E$12,IF(IF(Deal="Commit to the full plan",PlanStores,$A53)&gt;=PBAt3,Scale!$E$11,IF(IF(Deal="Commit to the full plan",PlanStores,$A53)&gt;=PBAt2,Scale!$E$10,IF(IF(Deal="Commit to the full plan",PlanStores,$A53)&gt;=PBAt1,Scale!$E$9,0)))))</f>
        <v/>
      </c>
    </row>
    <row r="54">
      <c r="A54" s="110" t="n">
        <v>33</v>
      </c>
      <c r="B54" s="111" t="str">
        <f>IF($A54&gt;PlanStores,"",1+COUNTIF(CumOpenings,"&lt;"&amp;$A54))</f>
        <v/>
      </c>
      <c r="C54" s="14" t="str">
        <f>IF($A54&gt;PlanStores,"",IF(AND($A54=1,FlagshipFirst="Yes",INDEX(Target,1)&gt;0),"SPLUS",IF(AND(AI54&gt;=AJ54,AI54&gt;=AK54),"SPLUS",IF(AJ54&gt;=AK54,"S","D"))))</f>
        <v/>
      </c>
      <c r="D54" s="111" t="str">
        <f>IF($C54="","",IF($C54="SPLUS",AF54,IF($C54="S",AG54,AH54)))</f>
        <v/>
      </c>
      <c r="E54" s="112" t="str">
        <f>IF($C54="","",$D54+LearnShared*($A54-$D54))</f>
        <v/>
      </c>
      <c r="F54" s="85" t="str">
        <f>IF($C54="","",MAX(LearnFloor,$E54^LOG(LearnRate,2)))</f>
        <v/>
      </c>
      <c r="G54" s="85" t="str">
        <f>IF($C54="","",1-IF(IF(Deal="Commit to the full plan",PlanStores,$A54)&gt;=PBAt4,PBDisc4,IF(IF(Deal="Commit to the full plan",PlanStores,$A54)&gt;=PBAt3,PBDisc3,IF(IF(Deal="Commit to the full plan",PlanStores,$A54)&gt;=PBAt2,PBDisc2,IF(IF(Deal="Commit to the full plan",PlanStores,$A54)&gt;=PBAt1,PBDisc1,0)))))</f>
        <v/>
      </c>
      <c r="H54" s="39" t="str">
        <f>IF($C54="","",INDEX(BaseL,AL54)*$F54+INDEX(BaseV,AL54)*$G54+INDEX(BaseN,AL54))</f>
        <v/>
      </c>
      <c r="I54" s="39" t="str">
        <f>IF($C54="","",$H54*(1+BuildInflation)^($B54-1))</f>
        <v/>
      </c>
      <c r="J54" s="40" t="str">
        <f>IF($C54="","",IF(AN54="",IF(INDEX(Cand,AL54)=0,"No street of this size","Typical "&amp;LOWER(INDEX(TierNames,AL54))&amp;" street"),INDEX(Melbourne!$B$58:$B$135,AN54)))</f>
        <v/>
      </c>
      <c r="K54" s="40" t="str">
        <f>IF(OR($C54="",AN54=""),"",INDEX(Melbourne!$C$58:$C$135,AN54))</f>
        <v/>
      </c>
      <c r="L54" s="46" t="str">
        <f>IF($C54="","",IF(AN54="",INDEX(TypicalF,AL54),INDEX(Melbourne!$E$58:$E$135,AN54)))</f>
        <v/>
      </c>
      <c r="M54" s="86" t="str">
        <f>IF($C54="","",IF(AN54="",INDEX(TypicalQ,AL54),INDEX(Melbourne!$N$58:$N$135,AN54)))</f>
        <v/>
      </c>
      <c r="N54" s="39" t="str">
        <f>IF($C54="","",MIN($L54*Capture*$M54*Conversion*Ticket,INDEX(CapacityPsf,AL54)*INDEX(Area,AL54)))</f>
        <v/>
      </c>
      <c r="O54" s="39" t="str">
        <f>IF($C54="","",INDEX(Area,AL54)*RentPsf*($L54/Fref)^RentElasticity)</f>
        <v/>
      </c>
      <c r="P54" s="39" t="str">
        <f>IF($C54="","",$O54+INDEX(RunOther,AL54))</f>
        <v/>
      </c>
      <c r="Q54" s="95" t="str">
        <f>IF($C54="","",$N54*ContribMargin-$P54-INDEX(LicPlan,AL54))</f>
        <v/>
      </c>
      <c r="R54" s="113" t="str">
        <f>IF($C54="","",IF(AND(AO54&gt;=$H54,AO54&gt;0),$H54/AO54,IF(AND(AO54+AP54&gt;=$H54,AP54&gt;0),1+($H54-AO54)/AP54,IF($Q54&gt;0,2+($H54-AO54-AP54)/$Q54,"Never"))))</f>
        <v/>
      </c>
      <c r="S54" s="39" t="str">
        <f>IF($C54="","",StockWeeks/52*$N54*(1-GrossMargin))</f>
        <v/>
      </c>
      <c r="U54" s="95">
        <f>IF(OR($C54="",U$21&lt;$B54),0,IF(U$21=$B54,OpenYearShare,1)*($N54*ContribMargin*IF(U$21=$B54,Ramp1,IF(U$21=$B54+1,Ramp2,1))-$P54-INDEX(LicByYear,AL54,U$21)))</f>
        <v>0</v>
      </c>
      <c r="V54" s="95">
        <f>IF(OR($C54="",V$21&lt;$B54),0,IF(V$21=$B54,OpenYearShare,1)*($N54*ContribMargin*IF(V$21=$B54,Ramp1,IF(V$21=$B54+1,Ramp2,1))-$P54-INDEX(LicByYear,AL54,V$21)))</f>
        <v>0</v>
      </c>
      <c r="W54" s="95">
        <f>IF(OR($C54="",W$21&lt;$B54),0,IF(W$21=$B54,OpenYearShare,1)*($N54*ContribMargin*IF(W$21=$B54,Ramp1,IF(W$21=$B54+1,Ramp2,1))-$P54-INDEX(LicByYear,AL54,W$21)))</f>
        <v>0</v>
      </c>
      <c r="X54" s="95">
        <f>IF(OR($C54="",X$21&lt;$B54),0,IF(X$21=$B54,OpenYearShare,1)*($N54*ContribMargin*IF(X$21=$B54,Ramp1,IF(X$21=$B54+1,Ramp2,1))-$P54-INDEX(LicByYear,AL54,X$21)))</f>
        <v>0</v>
      </c>
      <c r="Y54" s="95">
        <f>IF(OR($C54="",Y$21&lt;$B54),0,IF(Y$21=$B54,OpenYearShare,1)*($N54*ContribMargin*IF(Y$21=$B54,Ramp1,IF(Y$21=$B54+1,Ramp2,1))-$P54-INDEX(LicByYear,AL54,Y$21)))</f>
        <v>0</v>
      </c>
      <c r="Z54" s="95">
        <f>IF(OR($C54="",Z$21&lt;$B54),0,IF(Z$21=$B54,OpenYearShare,1)*($N54*ContribMargin*IF(Z$21=$B54,Ramp1,IF(Z$21=$B54+1,Ramp2,1))-$P54-INDEX(LicByYear,AL54,Z$21)))</f>
        <v>0</v>
      </c>
      <c r="AA54" s="95">
        <f>IF(OR($C54="",AA$21&lt;$B54),0,IF(AA$21=$B54,OpenYearShare,1)*($N54*ContribMargin*IF(AA$21=$B54,Ramp1,IF(AA$21=$B54+1,Ramp2,1))-$P54-INDEX(LicByYear,AL54,AA$21)))</f>
        <v>0</v>
      </c>
      <c r="AB54" s="95">
        <f>IF(OR($C54="",AB$21&lt;$B54),0,IF(AB$21=$B54,OpenYearShare,1)*($N54*ContribMargin*IF(AB$21=$B54,Ramp1,IF(AB$21=$B54+1,Ramp2,1))-$P54-INDEX(LicByYear,AL54,AB$21)))</f>
        <v>0</v>
      </c>
      <c r="AC54" s="95">
        <f>IF(OR($C54="",AC$21&lt;$B54),0,IF(AC$21=$B54,OpenYearShare,1)*($N54*ContribMargin*IF(AC$21=$B54,Ramp1,IF(AC$21=$B54+1,Ramp2,1))-$P54-INDEX(LicByYear,AL54,AC$21)))</f>
        <v>0</v>
      </c>
      <c r="AD54" s="95">
        <f>IF(OR($C54="",AD$21&lt;$B54),0,IF(AD$21=$B54,OpenYearShare,1)*($N54*ContribMargin*IF(AD$21=$B54,Ramp1,IF(AD$21=$B54+1,Ramp2,1))-$P54-INDEX(LicByYear,AL54,AD$21)))</f>
        <v>0</v>
      </c>
      <c r="AF54" s="82">
        <f>AF53+IF($C54="SPLUS",1,0)</f>
        <v>7</v>
      </c>
      <c r="AG54" s="82">
        <f>AG53+IF($C54="S",1,0)</f>
        <v>15</v>
      </c>
      <c r="AH54" s="82">
        <f>AH53+IF($C54="D",1,0)</f>
        <v>8</v>
      </c>
      <c r="AI54" s="105">
        <f>IF(OR($A54&gt;PlanStores,AF53&gt;=INDEX(Target,1)),-1000000000,INDEX(Target,1)*$A54-AF53*PlanStores)</f>
        <v>-1000000000</v>
      </c>
      <c r="AJ54" s="105">
        <f>IF(OR($A54&gt;PlanStores,AG53&gt;=INDEX(Target,2)),-1000000000,INDEX(Target,2)*$A54-AG53*PlanStores)</f>
        <v>-1000000000</v>
      </c>
      <c r="AK54" s="105">
        <f>IF(OR($A54&gt;PlanStores,AH53&gt;=INDEX(Target,3)),-1000000000,INDEX(Target,3)*$A54-AH53*PlanStores)</f>
        <v>-1000000000</v>
      </c>
      <c r="AL54" s="82" t="str">
        <f>IF($C54="","",MATCH($C54,TierCodes,0))</f>
        <v/>
      </c>
      <c r="AM54" s="82" t="str">
        <f>IF($C54="","",IF(OR(StreetChoice="Typical street for its size",INDEX(Cand,AL54)=0),"",MOD($D54-1,INDEX(Cand,AL54))+1))</f>
        <v/>
      </c>
      <c r="AN54" s="82" t="str">
        <f>IF(AM54="","",MATCH($C54&amp;"|"&amp;AM54,Melbourne!$AA$58:$AA$135,0))</f>
        <v/>
      </c>
      <c r="AO54" s="76" t="str">
        <f>IF($C54="","",Ramp1*$N54*ContribMargin-$P54-INDEX(LicPlan,AL54))</f>
        <v/>
      </c>
      <c r="AP54" s="76" t="str">
        <f>IF($C54="","",Ramp2*$N54*ContribMargin-$P54-INDEX(LicPlan,AL54))</f>
        <v/>
      </c>
      <c r="AR54" s="61" t="str">
        <f>IF($C54="","",MAX(Scale!$C$7,($D54+Scale!$C$8*($A54-$D54))^LOG(Scale!$C$6,2)))</f>
        <v/>
      </c>
      <c r="AS54" s="61" t="str">
        <f>IF($C54="","",1-IF(IF(Deal="Commit to the full plan",PlanStores,$A54)&gt;=PBAt4,Scale!$C$12,IF(IF(Deal="Commit to the full plan",PlanStores,$A54)&gt;=PBAt3,Scale!$C$11,IF(IF(Deal="Commit to the full plan",PlanStores,$A54)&gt;=PBAt2,Scale!$C$10,IF(IF(Deal="Commit to the full plan",PlanStores,$A54)&gt;=PBAt1,Scale!$C$9,0)))))</f>
        <v/>
      </c>
      <c r="AT54" s="61" t="str">
        <f>IF($C54="","",MAX(Scale!$D$7,($D54+Scale!$D$8*($A54-$D54))^LOG(Scale!$D$6,2)))</f>
        <v/>
      </c>
      <c r="AU54" s="61" t="str">
        <f>IF($C54="","",1-IF(IF(Deal="Commit to the full plan",PlanStores,$A54)&gt;=PBAt4,Scale!$D$12,IF(IF(Deal="Commit to the full plan",PlanStores,$A54)&gt;=PBAt3,Scale!$D$11,IF(IF(Deal="Commit to the full plan",PlanStores,$A54)&gt;=PBAt2,Scale!$D$10,IF(IF(Deal="Commit to the full plan",PlanStores,$A54)&gt;=PBAt1,Scale!$D$9,0)))))</f>
        <v/>
      </c>
      <c r="AV54" s="61" t="str">
        <f>IF($C54="","",MAX(Scale!$E$7,($D54+Scale!$E$8*($A54-$D54))^LOG(Scale!$E$6,2)))</f>
        <v/>
      </c>
      <c r="AW54" s="61" t="str">
        <f>IF($C54="","",1-IF(IF(Deal="Commit to the full plan",PlanStores,$A54)&gt;=PBAt4,Scale!$E$12,IF(IF(Deal="Commit to the full plan",PlanStores,$A54)&gt;=PBAt3,Scale!$E$11,IF(IF(Deal="Commit to the full plan",PlanStores,$A54)&gt;=PBAt2,Scale!$E$10,IF(IF(Deal="Commit to the full plan",PlanStores,$A54)&gt;=PBAt1,Scale!$E$9,0)))))</f>
        <v/>
      </c>
    </row>
    <row r="55">
      <c r="A55" s="110" t="n">
        <v>34</v>
      </c>
      <c r="B55" s="111" t="str">
        <f>IF($A55&gt;PlanStores,"",1+COUNTIF(CumOpenings,"&lt;"&amp;$A55))</f>
        <v/>
      </c>
      <c r="C55" s="14" t="str">
        <f>IF($A55&gt;PlanStores,"",IF(AND($A55=1,FlagshipFirst="Yes",INDEX(Target,1)&gt;0),"SPLUS",IF(AND(AI55&gt;=AJ55,AI55&gt;=AK55),"SPLUS",IF(AJ55&gt;=AK55,"S","D"))))</f>
        <v/>
      </c>
      <c r="D55" s="111" t="str">
        <f>IF($C55="","",IF($C55="SPLUS",AF55,IF($C55="S",AG55,AH55)))</f>
        <v/>
      </c>
      <c r="E55" s="112" t="str">
        <f>IF($C55="","",$D55+LearnShared*($A55-$D55))</f>
        <v/>
      </c>
      <c r="F55" s="85" t="str">
        <f>IF($C55="","",MAX(LearnFloor,$E55^LOG(LearnRate,2)))</f>
        <v/>
      </c>
      <c r="G55" s="85" t="str">
        <f>IF($C55="","",1-IF(IF(Deal="Commit to the full plan",PlanStores,$A55)&gt;=PBAt4,PBDisc4,IF(IF(Deal="Commit to the full plan",PlanStores,$A55)&gt;=PBAt3,PBDisc3,IF(IF(Deal="Commit to the full plan",PlanStores,$A55)&gt;=PBAt2,PBDisc2,IF(IF(Deal="Commit to the full plan",PlanStores,$A55)&gt;=PBAt1,PBDisc1,0)))))</f>
        <v/>
      </c>
      <c r="H55" s="39" t="str">
        <f>IF($C55="","",INDEX(BaseL,AL55)*$F55+INDEX(BaseV,AL55)*$G55+INDEX(BaseN,AL55))</f>
        <v/>
      </c>
      <c r="I55" s="39" t="str">
        <f>IF($C55="","",$H55*(1+BuildInflation)^($B55-1))</f>
        <v/>
      </c>
      <c r="J55" s="40" t="str">
        <f>IF($C55="","",IF(AN55="",IF(INDEX(Cand,AL55)=0,"No street of this size","Typical "&amp;LOWER(INDEX(TierNames,AL55))&amp;" street"),INDEX(Melbourne!$B$58:$B$135,AN55)))</f>
        <v/>
      </c>
      <c r="K55" s="40" t="str">
        <f>IF(OR($C55="",AN55=""),"",INDEX(Melbourne!$C$58:$C$135,AN55))</f>
        <v/>
      </c>
      <c r="L55" s="46" t="str">
        <f>IF($C55="","",IF(AN55="",INDEX(TypicalF,AL55),INDEX(Melbourne!$E$58:$E$135,AN55)))</f>
        <v/>
      </c>
      <c r="M55" s="86" t="str">
        <f>IF($C55="","",IF(AN55="",INDEX(TypicalQ,AL55),INDEX(Melbourne!$N$58:$N$135,AN55)))</f>
        <v/>
      </c>
      <c r="N55" s="39" t="str">
        <f>IF($C55="","",MIN($L55*Capture*$M55*Conversion*Ticket,INDEX(CapacityPsf,AL55)*INDEX(Area,AL55)))</f>
        <v/>
      </c>
      <c r="O55" s="39" t="str">
        <f>IF($C55="","",INDEX(Area,AL55)*RentPsf*($L55/Fref)^RentElasticity)</f>
        <v/>
      </c>
      <c r="P55" s="39" t="str">
        <f>IF($C55="","",$O55+INDEX(RunOther,AL55))</f>
        <v/>
      </c>
      <c r="Q55" s="95" t="str">
        <f>IF($C55="","",$N55*ContribMargin-$P55-INDEX(LicPlan,AL55))</f>
        <v/>
      </c>
      <c r="R55" s="113" t="str">
        <f>IF($C55="","",IF(AND(AO55&gt;=$H55,AO55&gt;0),$H55/AO55,IF(AND(AO55+AP55&gt;=$H55,AP55&gt;0),1+($H55-AO55)/AP55,IF($Q55&gt;0,2+($H55-AO55-AP55)/$Q55,"Never"))))</f>
        <v/>
      </c>
      <c r="S55" s="39" t="str">
        <f>IF($C55="","",StockWeeks/52*$N55*(1-GrossMargin))</f>
        <v/>
      </c>
      <c r="U55" s="95">
        <f>IF(OR($C55="",U$21&lt;$B55),0,IF(U$21=$B55,OpenYearShare,1)*($N55*ContribMargin*IF(U$21=$B55,Ramp1,IF(U$21=$B55+1,Ramp2,1))-$P55-INDEX(LicByYear,AL55,U$21)))</f>
        <v>0</v>
      </c>
      <c r="V55" s="95">
        <f>IF(OR($C55="",V$21&lt;$B55),0,IF(V$21=$B55,OpenYearShare,1)*($N55*ContribMargin*IF(V$21=$B55,Ramp1,IF(V$21=$B55+1,Ramp2,1))-$P55-INDEX(LicByYear,AL55,V$21)))</f>
        <v>0</v>
      </c>
      <c r="W55" s="95">
        <f>IF(OR($C55="",W$21&lt;$B55),0,IF(W$21=$B55,OpenYearShare,1)*($N55*ContribMargin*IF(W$21=$B55,Ramp1,IF(W$21=$B55+1,Ramp2,1))-$P55-INDEX(LicByYear,AL55,W$21)))</f>
        <v>0</v>
      </c>
      <c r="X55" s="95">
        <f>IF(OR($C55="",X$21&lt;$B55),0,IF(X$21=$B55,OpenYearShare,1)*($N55*ContribMargin*IF(X$21=$B55,Ramp1,IF(X$21=$B55+1,Ramp2,1))-$P55-INDEX(LicByYear,AL55,X$21)))</f>
        <v>0</v>
      </c>
      <c r="Y55" s="95">
        <f>IF(OR($C55="",Y$21&lt;$B55),0,IF(Y$21=$B55,OpenYearShare,1)*($N55*ContribMargin*IF(Y$21=$B55,Ramp1,IF(Y$21=$B55+1,Ramp2,1))-$P55-INDEX(LicByYear,AL55,Y$21)))</f>
        <v>0</v>
      </c>
      <c r="Z55" s="95">
        <f>IF(OR($C55="",Z$21&lt;$B55),0,IF(Z$21=$B55,OpenYearShare,1)*($N55*ContribMargin*IF(Z$21=$B55,Ramp1,IF(Z$21=$B55+1,Ramp2,1))-$P55-INDEX(LicByYear,AL55,Z$21)))</f>
        <v>0</v>
      </c>
      <c r="AA55" s="95">
        <f>IF(OR($C55="",AA$21&lt;$B55),0,IF(AA$21=$B55,OpenYearShare,1)*($N55*ContribMargin*IF(AA$21=$B55,Ramp1,IF(AA$21=$B55+1,Ramp2,1))-$P55-INDEX(LicByYear,AL55,AA$21)))</f>
        <v>0</v>
      </c>
      <c r="AB55" s="95">
        <f>IF(OR($C55="",AB$21&lt;$B55),0,IF(AB$21=$B55,OpenYearShare,1)*($N55*ContribMargin*IF(AB$21=$B55,Ramp1,IF(AB$21=$B55+1,Ramp2,1))-$P55-INDEX(LicByYear,AL55,AB$21)))</f>
        <v>0</v>
      </c>
      <c r="AC55" s="95">
        <f>IF(OR($C55="",AC$21&lt;$B55),0,IF(AC$21=$B55,OpenYearShare,1)*($N55*ContribMargin*IF(AC$21=$B55,Ramp1,IF(AC$21=$B55+1,Ramp2,1))-$P55-INDEX(LicByYear,AL55,AC$21)))</f>
        <v>0</v>
      </c>
      <c r="AD55" s="95">
        <f>IF(OR($C55="",AD$21&lt;$B55),0,IF(AD$21=$B55,OpenYearShare,1)*($N55*ContribMargin*IF(AD$21=$B55,Ramp1,IF(AD$21=$B55+1,Ramp2,1))-$P55-INDEX(LicByYear,AL55,AD$21)))</f>
        <v>0</v>
      </c>
      <c r="AF55" s="82">
        <f>AF54+IF($C55="SPLUS",1,0)</f>
        <v>7</v>
      </c>
      <c r="AG55" s="82">
        <f>AG54+IF($C55="S",1,0)</f>
        <v>15</v>
      </c>
      <c r="AH55" s="82">
        <f>AH54+IF($C55="D",1,0)</f>
        <v>8</v>
      </c>
      <c r="AI55" s="105">
        <f>IF(OR($A55&gt;PlanStores,AF54&gt;=INDEX(Target,1)),-1000000000,INDEX(Target,1)*$A55-AF54*PlanStores)</f>
        <v>-1000000000</v>
      </c>
      <c r="AJ55" s="105">
        <f>IF(OR($A55&gt;PlanStores,AG54&gt;=INDEX(Target,2)),-1000000000,INDEX(Target,2)*$A55-AG54*PlanStores)</f>
        <v>-1000000000</v>
      </c>
      <c r="AK55" s="105">
        <f>IF(OR($A55&gt;PlanStores,AH54&gt;=INDEX(Target,3)),-1000000000,INDEX(Target,3)*$A55-AH54*PlanStores)</f>
        <v>-1000000000</v>
      </c>
      <c r="AL55" s="82" t="str">
        <f>IF($C55="","",MATCH($C55,TierCodes,0))</f>
        <v/>
      </c>
      <c r="AM55" s="82" t="str">
        <f>IF($C55="","",IF(OR(StreetChoice="Typical street for its size",INDEX(Cand,AL55)=0),"",MOD($D55-1,INDEX(Cand,AL55))+1))</f>
        <v/>
      </c>
      <c r="AN55" s="82" t="str">
        <f>IF(AM55="","",MATCH($C55&amp;"|"&amp;AM55,Melbourne!$AA$58:$AA$135,0))</f>
        <v/>
      </c>
      <c r="AO55" s="76" t="str">
        <f>IF($C55="","",Ramp1*$N55*ContribMargin-$P55-INDEX(LicPlan,AL55))</f>
        <v/>
      </c>
      <c r="AP55" s="76" t="str">
        <f>IF($C55="","",Ramp2*$N55*ContribMargin-$P55-INDEX(LicPlan,AL55))</f>
        <v/>
      </c>
      <c r="AR55" s="61" t="str">
        <f>IF($C55="","",MAX(Scale!$C$7,($D55+Scale!$C$8*($A55-$D55))^LOG(Scale!$C$6,2)))</f>
        <v/>
      </c>
      <c r="AS55" s="61" t="str">
        <f>IF($C55="","",1-IF(IF(Deal="Commit to the full plan",PlanStores,$A55)&gt;=PBAt4,Scale!$C$12,IF(IF(Deal="Commit to the full plan",PlanStores,$A55)&gt;=PBAt3,Scale!$C$11,IF(IF(Deal="Commit to the full plan",PlanStores,$A55)&gt;=PBAt2,Scale!$C$10,IF(IF(Deal="Commit to the full plan",PlanStores,$A55)&gt;=PBAt1,Scale!$C$9,0)))))</f>
        <v/>
      </c>
      <c r="AT55" s="61" t="str">
        <f>IF($C55="","",MAX(Scale!$D$7,($D55+Scale!$D$8*($A55-$D55))^LOG(Scale!$D$6,2)))</f>
        <v/>
      </c>
      <c r="AU55" s="61" t="str">
        <f>IF($C55="","",1-IF(IF(Deal="Commit to the full plan",PlanStores,$A55)&gt;=PBAt4,Scale!$D$12,IF(IF(Deal="Commit to the full plan",PlanStores,$A55)&gt;=PBAt3,Scale!$D$11,IF(IF(Deal="Commit to the full plan",PlanStores,$A55)&gt;=PBAt2,Scale!$D$10,IF(IF(Deal="Commit to the full plan",PlanStores,$A55)&gt;=PBAt1,Scale!$D$9,0)))))</f>
        <v/>
      </c>
      <c r="AV55" s="61" t="str">
        <f>IF($C55="","",MAX(Scale!$E$7,($D55+Scale!$E$8*($A55-$D55))^LOG(Scale!$E$6,2)))</f>
        <v/>
      </c>
      <c r="AW55" s="61" t="str">
        <f>IF($C55="","",1-IF(IF(Deal="Commit to the full plan",PlanStores,$A55)&gt;=PBAt4,Scale!$E$12,IF(IF(Deal="Commit to the full plan",PlanStores,$A55)&gt;=PBAt3,Scale!$E$11,IF(IF(Deal="Commit to the full plan",PlanStores,$A55)&gt;=PBAt2,Scale!$E$10,IF(IF(Deal="Commit to the full plan",PlanStores,$A55)&gt;=PBAt1,Scale!$E$9,0)))))</f>
        <v/>
      </c>
    </row>
    <row r="56">
      <c r="A56" s="110" t="n">
        <v>35</v>
      </c>
      <c r="B56" s="111" t="str">
        <f>IF($A56&gt;PlanStores,"",1+COUNTIF(CumOpenings,"&lt;"&amp;$A56))</f>
        <v/>
      </c>
      <c r="C56" s="14" t="str">
        <f>IF($A56&gt;PlanStores,"",IF(AND($A56=1,FlagshipFirst="Yes",INDEX(Target,1)&gt;0),"SPLUS",IF(AND(AI56&gt;=AJ56,AI56&gt;=AK56),"SPLUS",IF(AJ56&gt;=AK56,"S","D"))))</f>
        <v/>
      </c>
      <c r="D56" s="111" t="str">
        <f>IF($C56="","",IF($C56="SPLUS",AF56,IF($C56="S",AG56,AH56)))</f>
        <v/>
      </c>
      <c r="E56" s="112" t="str">
        <f>IF($C56="","",$D56+LearnShared*($A56-$D56))</f>
        <v/>
      </c>
      <c r="F56" s="85" t="str">
        <f>IF($C56="","",MAX(LearnFloor,$E56^LOG(LearnRate,2)))</f>
        <v/>
      </c>
      <c r="G56" s="85" t="str">
        <f>IF($C56="","",1-IF(IF(Deal="Commit to the full plan",PlanStores,$A56)&gt;=PBAt4,PBDisc4,IF(IF(Deal="Commit to the full plan",PlanStores,$A56)&gt;=PBAt3,PBDisc3,IF(IF(Deal="Commit to the full plan",PlanStores,$A56)&gt;=PBAt2,PBDisc2,IF(IF(Deal="Commit to the full plan",PlanStores,$A56)&gt;=PBAt1,PBDisc1,0)))))</f>
        <v/>
      </c>
      <c r="H56" s="39" t="str">
        <f>IF($C56="","",INDEX(BaseL,AL56)*$F56+INDEX(BaseV,AL56)*$G56+INDEX(BaseN,AL56))</f>
        <v/>
      </c>
      <c r="I56" s="39" t="str">
        <f>IF($C56="","",$H56*(1+BuildInflation)^($B56-1))</f>
        <v/>
      </c>
      <c r="J56" s="40" t="str">
        <f>IF($C56="","",IF(AN56="",IF(INDEX(Cand,AL56)=0,"No street of this size","Typical "&amp;LOWER(INDEX(TierNames,AL56))&amp;" street"),INDEX(Melbourne!$B$58:$B$135,AN56)))</f>
        <v/>
      </c>
      <c r="K56" s="40" t="str">
        <f>IF(OR($C56="",AN56=""),"",INDEX(Melbourne!$C$58:$C$135,AN56))</f>
        <v/>
      </c>
      <c r="L56" s="46" t="str">
        <f>IF($C56="","",IF(AN56="",INDEX(TypicalF,AL56),INDEX(Melbourne!$E$58:$E$135,AN56)))</f>
        <v/>
      </c>
      <c r="M56" s="86" t="str">
        <f>IF($C56="","",IF(AN56="",INDEX(TypicalQ,AL56),INDEX(Melbourne!$N$58:$N$135,AN56)))</f>
        <v/>
      </c>
      <c r="N56" s="39" t="str">
        <f>IF($C56="","",MIN($L56*Capture*$M56*Conversion*Ticket,INDEX(CapacityPsf,AL56)*INDEX(Area,AL56)))</f>
        <v/>
      </c>
      <c r="O56" s="39" t="str">
        <f>IF($C56="","",INDEX(Area,AL56)*RentPsf*($L56/Fref)^RentElasticity)</f>
        <v/>
      </c>
      <c r="P56" s="39" t="str">
        <f>IF($C56="","",$O56+INDEX(RunOther,AL56))</f>
        <v/>
      </c>
      <c r="Q56" s="95" t="str">
        <f>IF($C56="","",$N56*ContribMargin-$P56-INDEX(LicPlan,AL56))</f>
        <v/>
      </c>
      <c r="R56" s="113" t="str">
        <f>IF($C56="","",IF(AND(AO56&gt;=$H56,AO56&gt;0),$H56/AO56,IF(AND(AO56+AP56&gt;=$H56,AP56&gt;0),1+($H56-AO56)/AP56,IF($Q56&gt;0,2+($H56-AO56-AP56)/$Q56,"Never"))))</f>
        <v/>
      </c>
      <c r="S56" s="39" t="str">
        <f>IF($C56="","",StockWeeks/52*$N56*(1-GrossMargin))</f>
        <v/>
      </c>
      <c r="U56" s="95">
        <f>IF(OR($C56="",U$21&lt;$B56),0,IF(U$21=$B56,OpenYearShare,1)*($N56*ContribMargin*IF(U$21=$B56,Ramp1,IF(U$21=$B56+1,Ramp2,1))-$P56-INDEX(LicByYear,AL56,U$21)))</f>
        <v>0</v>
      </c>
      <c r="V56" s="95">
        <f>IF(OR($C56="",V$21&lt;$B56),0,IF(V$21=$B56,OpenYearShare,1)*($N56*ContribMargin*IF(V$21=$B56,Ramp1,IF(V$21=$B56+1,Ramp2,1))-$P56-INDEX(LicByYear,AL56,V$21)))</f>
        <v>0</v>
      </c>
      <c r="W56" s="95">
        <f>IF(OR($C56="",W$21&lt;$B56),0,IF(W$21=$B56,OpenYearShare,1)*($N56*ContribMargin*IF(W$21=$B56,Ramp1,IF(W$21=$B56+1,Ramp2,1))-$P56-INDEX(LicByYear,AL56,W$21)))</f>
        <v>0</v>
      </c>
      <c r="X56" s="95">
        <f>IF(OR($C56="",X$21&lt;$B56),0,IF(X$21=$B56,OpenYearShare,1)*($N56*ContribMargin*IF(X$21=$B56,Ramp1,IF(X$21=$B56+1,Ramp2,1))-$P56-INDEX(LicByYear,AL56,X$21)))</f>
        <v>0</v>
      </c>
      <c r="Y56" s="95">
        <f>IF(OR($C56="",Y$21&lt;$B56),0,IF(Y$21=$B56,OpenYearShare,1)*($N56*ContribMargin*IF(Y$21=$B56,Ramp1,IF(Y$21=$B56+1,Ramp2,1))-$P56-INDEX(LicByYear,AL56,Y$21)))</f>
        <v>0</v>
      </c>
      <c r="Z56" s="95">
        <f>IF(OR($C56="",Z$21&lt;$B56),0,IF(Z$21=$B56,OpenYearShare,1)*($N56*ContribMargin*IF(Z$21=$B56,Ramp1,IF(Z$21=$B56+1,Ramp2,1))-$P56-INDEX(LicByYear,AL56,Z$21)))</f>
        <v>0</v>
      </c>
      <c r="AA56" s="95">
        <f>IF(OR($C56="",AA$21&lt;$B56),0,IF(AA$21=$B56,OpenYearShare,1)*($N56*ContribMargin*IF(AA$21=$B56,Ramp1,IF(AA$21=$B56+1,Ramp2,1))-$P56-INDEX(LicByYear,AL56,AA$21)))</f>
        <v>0</v>
      </c>
      <c r="AB56" s="95">
        <f>IF(OR($C56="",AB$21&lt;$B56),0,IF(AB$21=$B56,OpenYearShare,1)*($N56*ContribMargin*IF(AB$21=$B56,Ramp1,IF(AB$21=$B56+1,Ramp2,1))-$P56-INDEX(LicByYear,AL56,AB$21)))</f>
        <v>0</v>
      </c>
      <c r="AC56" s="95">
        <f>IF(OR($C56="",AC$21&lt;$B56),0,IF(AC$21=$B56,OpenYearShare,1)*($N56*ContribMargin*IF(AC$21=$B56,Ramp1,IF(AC$21=$B56+1,Ramp2,1))-$P56-INDEX(LicByYear,AL56,AC$21)))</f>
        <v>0</v>
      </c>
      <c r="AD56" s="95">
        <f>IF(OR($C56="",AD$21&lt;$B56),0,IF(AD$21=$B56,OpenYearShare,1)*($N56*ContribMargin*IF(AD$21=$B56,Ramp1,IF(AD$21=$B56+1,Ramp2,1))-$P56-INDEX(LicByYear,AL56,AD$21)))</f>
        <v>0</v>
      </c>
      <c r="AF56" s="82">
        <f>AF55+IF($C56="SPLUS",1,0)</f>
        <v>7</v>
      </c>
      <c r="AG56" s="82">
        <f>AG55+IF($C56="S",1,0)</f>
        <v>15</v>
      </c>
      <c r="AH56" s="82">
        <f>AH55+IF($C56="D",1,0)</f>
        <v>8</v>
      </c>
      <c r="AI56" s="105">
        <f>IF(OR($A56&gt;PlanStores,AF55&gt;=INDEX(Target,1)),-1000000000,INDEX(Target,1)*$A56-AF55*PlanStores)</f>
        <v>-1000000000</v>
      </c>
      <c r="AJ56" s="105">
        <f>IF(OR($A56&gt;PlanStores,AG55&gt;=INDEX(Target,2)),-1000000000,INDEX(Target,2)*$A56-AG55*PlanStores)</f>
        <v>-1000000000</v>
      </c>
      <c r="AK56" s="105">
        <f>IF(OR($A56&gt;PlanStores,AH55&gt;=INDEX(Target,3)),-1000000000,INDEX(Target,3)*$A56-AH55*PlanStores)</f>
        <v>-1000000000</v>
      </c>
      <c r="AL56" s="82" t="str">
        <f>IF($C56="","",MATCH($C56,TierCodes,0))</f>
        <v/>
      </c>
      <c r="AM56" s="82" t="str">
        <f>IF($C56="","",IF(OR(StreetChoice="Typical street for its size",INDEX(Cand,AL56)=0),"",MOD($D56-1,INDEX(Cand,AL56))+1))</f>
        <v/>
      </c>
      <c r="AN56" s="82" t="str">
        <f>IF(AM56="","",MATCH($C56&amp;"|"&amp;AM56,Melbourne!$AA$58:$AA$135,0))</f>
        <v/>
      </c>
      <c r="AO56" s="76" t="str">
        <f>IF($C56="","",Ramp1*$N56*ContribMargin-$P56-INDEX(LicPlan,AL56))</f>
        <v/>
      </c>
      <c r="AP56" s="76" t="str">
        <f>IF($C56="","",Ramp2*$N56*ContribMargin-$P56-INDEX(LicPlan,AL56))</f>
        <v/>
      </c>
      <c r="AR56" s="61" t="str">
        <f>IF($C56="","",MAX(Scale!$C$7,($D56+Scale!$C$8*($A56-$D56))^LOG(Scale!$C$6,2)))</f>
        <v/>
      </c>
      <c r="AS56" s="61" t="str">
        <f>IF($C56="","",1-IF(IF(Deal="Commit to the full plan",PlanStores,$A56)&gt;=PBAt4,Scale!$C$12,IF(IF(Deal="Commit to the full plan",PlanStores,$A56)&gt;=PBAt3,Scale!$C$11,IF(IF(Deal="Commit to the full plan",PlanStores,$A56)&gt;=PBAt2,Scale!$C$10,IF(IF(Deal="Commit to the full plan",PlanStores,$A56)&gt;=PBAt1,Scale!$C$9,0)))))</f>
        <v/>
      </c>
      <c r="AT56" s="61" t="str">
        <f>IF($C56="","",MAX(Scale!$D$7,($D56+Scale!$D$8*($A56-$D56))^LOG(Scale!$D$6,2)))</f>
        <v/>
      </c>
      <c r="AU56" s="61" t="str">
        <f>IF($C56="","",1-IF(IF(Deal="Commit to the full plan",PlanStores,$A56)&gt;=PBAt4,Scale!$D$12,IF(IF(Deal="Commit to the full plan",PlanStores,$A56)&gt;=PBAt3,Scale!$D$11,IF(IF(Deal="Commit to the full plan",PlanStores,$A56)&gt;=PBAt2,Scale!$D$10,IF(IF(Deal="Commit to the full plan",PlanStores,$A56)&gt;=PBAt1,Scale!$D$9,0)))))</f>
        <v/>
      </c>
      <c r="AV56" s="61" t="str">
        <f>IF($C56="","",MAX(Scale!$E$7,($D56+Scale!$E$8*($A56-$D56))^LOG(Scale!$E$6,2)))</f>
        <v/>
      </c>
      <c r="AW56" s="61" t="str">
        <f>IF($C56="","",1-IF(IF(Deal="Commit to the full plan",PlanStores,$A56)&gt;=PBAt4,Scale!$E$12,IF(IF(Deal="Commit to the full plan",PlanStores,$A56)&gt;=PBAt3,Scale!$E$11,IF(IF(Deal="Commit to the full plan",PlanStores,$A56)&gt;=PBAt2,Scale!$E$10,IF(IF(Deal="Commit to the full plan",PlanStores,$A56)&gt;=PBAt1,Scale!$E$9,0)))))</f>
        <v/>
      </c>
    </row>
    <row r="57">
      <c r="A57" s="110" t="n">
        <v>36</v>
      </c>
      <c r="B57" s="111" t="str">
        <f>IF($A57&gt;PlanStores,"",1+COUNTIF(CumOpenings,"&lt;"&amp;$A57))</f>
        <v/>
      </c>
      <c r="C57" s="14" t="str">
        <f>IF($A57&gt;PlanStores,"",IF(AND($A57=1,FlagshipFirst="Yes",INDEX(Target,1)&gt;0),"SPLUS",IF(AND(AI57&gt;=AJ57,AI57&gt;=AK57),"SPLUS",IF(AJ57&gt;=AK57,"S","D"))))</f>
        <v/>
      </c>
      <c r="D57" s="111" t="str">
        <f>IF($C57="","",IF($C57="SPLUS",AF57,IF($C57="S",AG57,AH57)))</f>
        <v/>
      </c>
      <c r="E57" s="112" t="str">
        <f>IF($C57="","",$D57+LearnShared*($A57-$D57))</f>
        <v/>
      </c>
      <c r="F57" s="85" t="str">
        <f>IF($C57="","",MAX(LearnFloor,$E57^LOG(LearnRate,2)))</f>
        <v/>
      </c>
      <c r="G57" s="85" t="str">
        <f>IF($C57="","",1-IF(IF(Deal="Commit to the full plan",PlanStores,$A57)&gt;=PBAt4,PBDisc4,IF(IF(Deal="Commit to the full plan",PlanStores,$A57)&gt;=PBAt3,PBDisc3,IF(IF(Deal="Commit to the full plan",PlanStores,$A57)&gt;=PBAt2,PBDisc2,IF(IF(Deal="Commit to the full plan",PlanStores,$A57)&gt;=PBAt1,PBDisc1,0)))))</f>
        <v/>
      </c>
      <c r="H57" s="39" t="str">
        <f>IF($C57="","",INDEX(BaseL,AL57)*$F57+INDEX(BaseV,AL57)*$G57+INDEX(BaseN,AL57))</f>
        <v/>
      </c>
      <c r="I57" s="39" t="str">
        <f>IF($C57="","",$H57*(1+BuildInflation)^($B57-1))</f>
        <v/>
      </c>
      <c r="J57" s="40" t="str">
        <f>IF($C57="","",IF(AN57="",IF(INDEX(Cand,AL57)=0,"No street of this size","Typical "&amp;LOWER(INDEX(TierNames,AL57))&amp;" street"),INDEX(Melbourne!$B$58:$B$135,AN57)))</f>
        <v/>
      </c>
      <c r="K57" s="40" t="str">
        <f>IF(OR($C57="",AN57=""),"",INDEX(Melbourne!$C$58:$C$135,AN57))</f>
        <v/>
      </c>
      <c r="L57" s="46" t="str">
        <f>IF($C57="","",IF(AN57="",INDEX(TypicalF,AL57),INDEX(Melbourne!$E$58:$E$135,AN57)))</f>
        <v/>
      </c>
      <c r="M57" s="86" t="str">
        <f>IF($C57="","",IF(AN57="",INDEX(TypicalQ,AL57),INDEX(Melbourne!$N$58:$N$135,AN57)))</f>
        <v/>
      </c>
      <c r="N57" s="39" t="str">
        <f>IF($C57="","",MIN($L57*Capture*$M57*Conversion*Ticket,INDEX(CapacityPsf,AL57)*INDEX(Area,AL57)))</f>
        <v/>
      </c>
      <c r="O57" s="39" t="str">
        <f>IF($C57="","",INDEX(Area,AL57)*RentPsf*($L57/Fref)^RentElasticity)</f>
        <v/>
      </c>
      <c r="P57" s="39" t="str">
        <f>IF($C57="","",$O57+INDEX(RunOther,AL57))</f>
        <v/>
      </c>
      <c r="Q57" s="95" t="str">
        <f>IF($C57="","",$N57*ContribMargin-$P57-INDEX(LicPlan,AL57))</f>
        <v/>
      </c>
      <c r="R57" s="113" t="str">
        <f>IF($C57="","",IF(AND(AO57&gt;=$H57,AO57&gt;0),$H57/AO57,IF(AND(AO57+AP57&gt;=$H57,AP57&gt;0),1+($H57-AO57)/AP57,IF($Q57&gt;0,2+($H57-AO57-AP57)/$Q57,"Never"))))</f>
        <v/>
      </c>
      <c r="S57" s="39" t="str">
        <f>IF($C57="","",StockWeeks/52*$N57*(1-GrossMargin))</f>
        <v/>
      </c>
      <c r="U57" s="95">
        <f>IF(OR($C57="",U$21&lt;$B57),0,IF(U$21=$B57,OpenYearShare,1)*($N57*ContribMargin*IF(U$21=$B57,Ramp1,IF(U$21=$B57+1,Ramp2,1))-$P57-INDEX(LicByYear,AL57,U$21)))</f>
        <v>0</v>
      </c>
      <c r="V57" s="95">
        <f>IF(OR($C57="",V$21&lt;$B57),0,IF(V$21=$B57,OpenYearShare,1)*($N57*ContribMargin*IF(V$21=$B57,Ramp1,IF(V$21=$B57+1,Ramp2,1))-$P57-INDEX(LicByYear,AL57,V$21)))</f>
        <v>0</v>
      </c>
      <c r="W57" s="95">
        <f>IF(OR($C57="",W$21&lt;$B57),0,IF(W$21=$B57,OpenYearShare,1)*($N57*ContribMargin*IF(W$21=$B57,Ramp1,IF(W$21=$B57+1,Ramp2,1))-$P57-INDEX(LicByYear,AL57,W$21)))</f>
        <v>0</v>
      </c>
      <c r="X57" s="95">
        <f>IF(OR($C57="",X$21&lt;$B57),0,IF(X$21=$B57,OpenYearShare,1)*($N57*ContribMargin*IF(X$21=$B57,Ramp1,IF(X$21=$B57+1,Ramp2,1))-$P57-INDEX(LicByYear,AL57,X$21)))</f>
        <v>0</v>
      </c>
      <c r="Y57" s="95">
        <f>IF(OR($C57="",Y$21&lt;$B57),0,IF(Y$21=$B57,OpenYearShare,1)*($N57*ContribMargin*IF(Y$21=$B57,Ramp1,IF(Y$21=$B57+1,Ramp2,1))-$P57-INDEX(LicByYear,AL57,Y$21)))</f>
        <v>0</v>
      </c>
      <c r="Z57" s="95">
        <f>IF(OR($C57="",Z$21&lt;$B57),0,IF(Z$21=$B57,OpenYearShare,1)*($N57*ContribMargin*IF(Z$21=$B57,Ramp1,IF(Z$21=$B57+1,Ramp2,1))-$P57-INDEX(LicByYear,AL57,Z$21)))</f>
        <v>0</v>
      </c>
      <c r="AA57" s="95">
        <f>IF(OR($C57="",AA$21&lt;$B57),0,IF(AA$21=$B57,OpenYearShare,1)*($N57*ContribMargin*IF(AA$21=$B57,Ramp1,IF(AA$21=$B57+1,Ramp2,1))-$P57-INDEX(LicByYear,AL57,AA$21)))</f>
        <v>0</v>
      </c>
      <c r="AB57" s="95">
        <f>IF(OR($C57="",AB$21&lt;$B57),0,IF(AB$21=$B57,OpenYearShare,1)*($N57*ContribMargin*IF(AB$21=$B57,Ramp1,IF(AB$21=$B57+1,Ramp2,1))-$P57-INDEX(LicByYear,AL57,AB$21)))</f>
        <v>0</v>
      </c>
      <c r="AC57" s="95">
        <f>IF(OR($C57="",AC$21&lt;$B57),0,IF(AC$21=$B57,OpenYearShare,1)*($N57*ContribMargin*IF(AC$21=$B57,Ramp1,IF(AC$21=$B57+1,Ramp2,1))-$P57-INDEX(LicByYear,AL57,AC$21)))</f>
        <v>0</v>
      </c>
      <c r="AD57" s="95">
        <f>IF(OR($C57="",AD$21&lt;$B57),0,IF(AD$21=$B57,OpenYearShare,1)*($N57*ContribMargin*IF(AD$21=$B57,Ramp1,IF(AD$21=$B57+1,Ramp2,1))-$P57-INDEX(LicByYear,AL57,AD$21)))</f>
        <v>0</v>
      </c>
      <c r="AF57" s="82">
        <f>AF56+IF($C57="SPLUS",1,0)</f>
        <v>7</v>
      </c>
      <c r="AG57" s="82">
        <f>AG56+IF($C57="S",1,0)</f>
        <v>15</v>
      </c>
      <c r="AH57" s="82">
        <f>AH56+IF($C57="D",1,0)</f>
        <v>8</v>
      </c>
      <c r="AI57" s="105">
        <f>IF(OR($A57&gt;PlanStores,AF56&gt;=INDEX(Target,1)),-1000000000,INDEX(Target,1)*$A57-AF56*PlanStores)</f>
        <v>-1000000000</v>
      </c>
      <c r="AJ57" s="105">
        <f>IF(OR($A57&gt;PlanStores,AG56&gt;=INDEX(Target,2)),-1000000000,INDEX(Target,2)*$A57-AG56*PlanStores)</f>
        <v>-1000000000</v>
      </c>
      <c r="AK57" s="105">
        <f>IF(OR($A57&gt;PlanStores,AH56&gt;=INDEX(Target,3)),-1000000000,INDEX(Target,3)*$A57-AH56*PlanStores)</f>
        <v>-1000000000</v>
      </c>
      <c r="AL57" s="82" t="str">
        <f>IF($C57="","",MATCH($C57,TierCodes,0))</f>
        <v/>
      </c>
      <c r="AM57" s="82" t="str">
        <f>IF($C57="","",IF(OR(StreetChoice="Typical street for its size",INDEX(Cand,AL57)=0),"",MOD($D57-1,INDEX(Cand,AL57))+1))</f>
        <v/>
      </c>
      <c r="AN57" s="82" t="str">
        <f>IF(AM57="","",MATCH($C57&amp;"|"&amp;AM57,Melbourne!$AA$58:$AA$135,0))</f>
        <v/>
      </c>
      <c r="AO57" s="76" t="str">
        <f>IF($C57="","",Ramp1*$N57*ContribMargin-$P57-INDEX(LicPlan,AL57))</f>
        <v/>
      </c>
      <c r="AP57" s="76" t="str">
        <f>IF($C57="","",Ramp2*$N57*ContribMargin-$P57-INDEX(LicPlan,AL57))</f>
        <v/>
      </c>
      <c r="AR57" s="61" t="str">
        <f>IF($C57="","",MAX(Scale!$C$7,($D57+Scale!$C$8*($A57-$D57))^LOG(Scale!$C$6,2)))</f>
        <v/>
      </c>
      <c r="AS57" s="61" t="str">
        <f>IF($C57="","",1-IF(IF(Deal="Commit to the full plan",PlanStores,$A57)&gt;=PBAt4,Scale!$C$12,IF(IF(Deal="Commit to the full plan",PlanStores,$A57)&gt;=PBAt3,Scale!$C$11,IF(IF(Deal="Commit to the full plan",PlanStores,$A57)&gt;=PBAt2,Scale!$C$10,IF(IF(Deal="Commit to the full plan",PlanStores,$A57)&gt;=PBAt1,Scale!$C$9,0)))))</f>
        <v/>
      </c>
      <c r="AT57" s="61" t="str">
        <f>IF($C57="","",MAX(Scale!$D$7,($D57+Scale!$D$8*($A57-$D57))^LOG(Scale!$D$6,2)))</f>
        <v/>
      </c>
      <c r="AU57" s="61" t="str">
        <f>IF($C57="","",1-IF(IF(Deal="Commit to the full plan",PlanStores,$A57)&gt;=PBAt4,Scale!$D$12,IF(IF(Deal="Commit to the full plan",PlanStores,$A57)&gt;=PBAt3,Scale!$D$11,IF(IF(Deal="Commit to the full plan",PlanStores,$A57)&gt;=PBAt2,Scale!$D$10,IF(IF(Deal="Commit to the full plan",PlanStores,$A57)&gt;=PBAt1,Scale!$D$9,0)))))</f>
        <v/>
      </c>
      <c r="AV57" s="61" t="str">
        <f>IF($C57="","",MAX(Scale!$E$7,($D57+Scale!$E$8*($A57-$D57))^LOG(Scale!$E$6,2)))</f>
        <v/>
      </c>
      <c r="AW57" s="61" t="str">
        <f>IF($C57="","",1-IF(IF(Deal="Commit to the full plan",PlanStores,$A57)&gt;=PBAt4,Scale!$E$12,IF(IF(Deal="Commit to the full plan",PlanStores,$A57)&gt;=PBAt3,Scale!$E$11,IF(IF(Deal="Commit to the full plan",PlanStores,$A57)&gt;=PBAt2,Scale!$E$10,IF(IF(Deal="Commit to the full plan",PlanStores,$A57)&gt;=PBAt1,Scale!$E$9,0)))))</f>
        <v/>
      </c>
    </row>
    <row r="58">
      <c r="A58" s="110" t="n">
        <v>37</v>
      </c>
      <c r="B58" s="111" t="str">
        <f>IF($A58&gt;PlanStores,"",1+COUNTIF(CumOpenings,"&lt;"&amp;$A58))</f>
        <v/>
      </c>
      <c r="C58" s="14" t="str">
        <f>IF($A58&gt;PlanStores,"",IF(AND($A58=1,FlagshipFirst="Yes",INDEX(Target,1)&gt;0),"SPLUS",IF(AND(AI58&gt;=AJ58,AI58&gt;=AK58),"SPLUS",IF(AJ58&gt;=AK58,"S","D"))))</f>
        <v/>
      </c>
      <c r="D58" s="111" t="str">
        <f>IF($C58="","",IF($C58="SPLUS",AF58,IF($C58="S",AG58,AH58)))</f>
        <v/>
      </c>
      <c r="E58" s="112" t="str">
        <f>IF($C58="","",$D58+LearnShared*($A58-$D58))</f>
        <v/>
      </c>
      <c r="F58" s="85" t="str">
        <f>IF($C58="","",MAX(LearnFloor,$E58^LOG(LearnRate,2)))</f>
        <v/>
      </c>
      <c r="G58" s="85" t="str">
        <f>IF($C58="","",1-IF(IF(Deal="Commit to the full plan",PlanStores,$A58)&gt;=PBAt4,PBDisc4,IF(IF(Deal="Commit to the full plan",PlanStores,$A58)&gt;=PBAt3,PBDisc3,IF(IF(Deal="Commit to the full plan",PlanStores,$A58)&gt;=PBAt2,PBDisc2,IF(IF(Deal="Commit to the full plan",PlanStores,$A58)&gt;=PBAt1,PBDisc1,0)))))</f>
        <v/>
      </c>
      <c r="H58" s="39" t="str">
        <f>IF($C58="","",INDEX(BaseL,AL58)*$F58+INDEX(BaseV,AL58)*$G58+INDEX(BaseN,AL58))</f>
        <v/>
      </c>
      <c r="I58" s="39" t="str">
        <f>IF($C58="","",$H58*(1+BuildInflation)^($B58-1))</f>
        <v/>
      </c>
      <c r="J58" s="40" t="str">
        <f>IF($C58="","",IF(AN58="",IF(INDEX(Cand,AL58)=0,"No street of this size","Typical "&amp;LOWER(INDEX(TierNames,AL58))&amp;" street"),INDEX(Melbourne!$B$58:$B$135,AN58)))</f>
        <v/>
      </c>
      <c r="K58" s="40" t="str">
        <f>IF(OR($C58="",AN58=""),"",INDEX(Melbourne!$C$58:$C$135,AN58))</f>
        <v/>
      </c>
      <c r="L58" s="46" t="str">
        <f>IF($C58="","",IF(AN58="",INDEX(TypicalF,AL58),INDEX(Melbourne!$E$58:$E$135,AN58)))</f>
        <v/>
      </c>
      <c r="M58" s="86" t="str">
        <f>IF($C58="","",IF(AN58="",INDEX(TypicalQ,AL58),INDEX(Melbourne!$N$58:$N$135,AN58)))</f>
        <v/>
      </c>
      <c r="N58" s="39" t="str">
        <f>IF($C58="","",MIN($L58*Capture*$M58*Conversion*Ticket,INDEX(CapacityPsf,AL58)*INDEX(Area,AL58)))</f>
        <v/>
      </c>
      <c r="O58" s="39" t="str">
        <f>IF($C58="","",INDEX(Area,AL58)*RentPsf*($L58/Fref)^RentElasticity)</f>
        <v/>
      </c>
      <c r="P58" s="39" t="str">
        <f>IF($C58="","",$O58+INDEX(RunOther,AL58))</f>
        <v/>
      </c>
      <c r="Q58" s="95" t="str">
        <f>IF($C58="","",$N58*ContribMargin-$P58-INDEX(LicPlan,AL58))</f>
        <v/>
      </c>
      <c r="R58" s="113" t="str">
        <f>IF($C58="","",IF(AND(AO58&gt;=$H58,AO58&gt;0),$H58/AO58,IF(AND(AO58+AP58&gt;=$H58,AP58&gt;0),1+($H58-AO58)/AP58,IF($Q58&gt;0,2+($H58-AO58-AP58)/$Q58,"Never"))))</f>
        <v/>
      </c>
      <c r="S58" s="39" t="str">
        <f>IF($C58="","",StockWeeks/52*$N58*(1-GrossMargin))</f>
        <v/>
      </c>
      <c r="U58" s="95">
        <f>IF(OR($C58="",U$21&lt;$B58),0,IF(U$21=$B58,OpenYearShare,1)*($N58*ContribMargin*IF(U$21=$B58,Ramp1,IF(U$21=$B58+1,Ramp2,1))-$P58-INDEX(LicByYear,AL58,U$21)))</f>
        <v>0</v>
      </c>
      <c r="V58" s="95">
        <f>IF(OR($C58="",V$21&lt;$B58),0,IF(V$21=$B58,OpenYearShare,1)*($N58*ContribMargin*IF(V$21=$B58,Ramp1,IF(V$21=$B58+1,Ramp2,1))-$P58-INDEX(LicByYear,AL58,V$21)))</f>
        <v>0</v>
      </c>
      <c r="W58" s="95">
        <f>IF(OR($C58="",W$21&lt;$B58),0,IF(W$21=$B58,OpenYearShare,1)*($N58*ContribMargin*IF(W$21=$B58,Ramp1,IF(W$21=$B58+1,Ramp2,1))-$P58-INDEX(LicByYear,AL58,W$21)))</f>
        <v>0</v>
      </c>
      <c r="X58" s="95">
        <f>IF(OR($C58="",X$21&lt;$B58),0,IF(X$21=$B58,OpenYearShare,1)*($N58*ContribMargin*IF(X$21=$B58,Ramp1,IF(X$21=$B58+1,Ramp2,1))-$P58-INDEX(LicByYear,AL58,X$21)))</f>
        <v>0</v>
      </c>
      <c r="Y58" s="95">
        <f>IF(OR($C58="",Y$21&lt;$B58),0,IF(Y$21=$B58,OpenYearShare,1)*($N58*ContribMargin*IF(Y$21=$B58,Ramp1,IF(Y$21=$B58+1,Ramp2,1))-$P58-INDEX(LicByYear,AL58,Y$21)))</f>
        <v>0</v>
      </c>
      <c r="Z58" s="95">
        <f>IF(OR($C58="",Z$21&lt;$B58),0,IF(Z$21=$B58,OpenYearShare,1)*($N58*ContribMargin*IF(Z$21=$B58,Ramp1,IF(Z$21=$B58+1,Ramp2,1))-$P58-INDEX(LicByYear,AL58,Z$21)))</f>
        <v>0</v>
      </c>
      <c r="AA58" s="95">
        <f>IF(OR($C58="",AA$21&lt;$B58),0,IF(AA$21=$B58,OpenYearShare,1)*($N58*ContribMargin*IF(AA$21=$B58,Ramp1,IF(AA$21=$B58+1,Ramp2,1))-$P58-INDEX(LicByYear,AL58,AA$21)))</f>
        <v>0</v>
      </c>
      <c r="AB58" s="95">
        <f>IF(OR($C58="",AB$21&lt;$B58),0,IF(AB$21=$B58,OpenYearShare,1)*($N58*ContribMargin*IF(AB$21=$B58,Ramp1,IF(AB$21=$B58+1,Ramp2,1))-$P58-INDEX(LicByYear,AL58,AB$21)))</f>
        <v>0</v>
      </c>
      <c r="AC58" s="95">
        <f>IF(OR($C58="",AC$21&lt;$B58),0,IF(AC$21=$B58,OpenYearShare,1)*($N58*ContribMargin*IF(AC$21=$B58,Ramp1,IF(AC$21=$B58+1,Ramp2,1))-$P58-INDEX(LicByYear,AL58,AC$21)))</f>
        <v>0</v>
      </c>
      <c r="AD58" s="95">
        <f>IF(OR($C58="",AD$21&lt;$B58),0,IF(AD$21=$B58,OpenYearShare,1)*($N58*ContribMargin*IF(AD$21=$B58,Ramp1,IF(AD$21=$B58+1,Ramp2,1))-$P58-INDEX(LicByYear,AL58,AD$21)))</f>
        <v>0</v>
      </c>
      <c r="AF58" s="82">
        <f>AF57+IF($C58="SPLUS",1,0)</f>
        <v>7</v>
      </c>
      <c r="AG58" s="82">
        <f>AG57+IF($C58="S",1,0)</f>
        <v>15</v>
      </c>
      <c r="AH58" s="82">
        <f>AH57+IF($C58="D",1,0)</f>
        <v>8</v>
      </c>
      <c r="AI58" s="105">
        <f>IF(OR($A58&gt;PlanStores,AF57&gt;=INDEX(Target,1)),-1000000000,INDEX(Target,1)*$A58-AF57*PlanStores)</f>
        <v>-1000000000</v>
      </c>
      <c r="AJ58" s="105">
        <f>IF(OR($A58&gt;PlanStores,AG57&gt;=INDEX(Target,2)),-1000000000,INDEX(Target,2)*$A58-AG57*PlanStores)</f>
        <v>-1000000000</v>
      </c>
      <c r="AK58" s="105">
        <f>IF(OR($A58&gt;PlanStores,AH57&gt;=INDEX(Target,3)),-1000000000,INDEX(Target,3)*$A58-AH57*PlanStores)</f>
        <v>-1000000000</v>
      </c>
      <c r="AL58" s="82" t="str">
        <f>IF($C58="","",MATCH($C58,TierCodes,0))</f>
        <v/>
      </c>
      <c r="AM58" s="82" t="str">
        <f>IF($C58="","",IF(OR(StreetChoice="Typical street for its size",INDEX(Cand,AL58)=0),"",MOD($D58-1,INDEX(Cand,AL58))+1))</f>
        <v/>
      </c>
      <c r="AN58" s="82" t="str">
        <f>IF(AM58="","",MATCH($C58&amp;"|"&amp;AM58,Melbourne!$AA$58:$AA$135,0))</f>
        <v/>
      </c>
      <c r="AO58" s="76" t="str">
        <f>IF($C58="","",Ramp1*$N58*ContribMargin-$P58-INDEX(LicPlan,AL58))</f>
        <v/>
      </c>
      <c r="AP58" s="76" t="str">
        <f>IF($C58="","",Ramp2*$N58*ContribMargin-$P58-INDEX(LicPlan,AL58))</f>
        <v/>
      </c>
      <c r="AR58" s="61" t="str">
        <f>IF($C58="","",MAX(Scale!$C$7,($D58+Scale!$C$8*($A58-$D58))^LOG(Scale!$C$6,2)))</f>
        <v/>
      </c>
      <c r="AS58" s="61" t="str">
        <f>IF($C58="","",1-IF(IF(Deal="Commit to the full plan",PlanStores,$A58)&gt;=PBAt4,Scale!$C$12,IF(IF(Deal="Commit to the full plan",PlanStores,$A58)&gt;=PBAt3,Scale!$C$11,IF(IF(Deal="Commit to the full plan",PlanStores,$A58)&gt;=PBAt2,Scale!$C$10,IF(IF(Deal="Commit to the full plan",PlanStores,$A58)&gt;=PBAt1,Scale!$C$9,0)))))</f>
        <v/>
      </c>
      <c r="AT58" s="61" t="str">
        <f>IF($C58="","",MAX(Scale!$D$7,($D58+Scale!$D$8*($A58-$D58))^LOG(Scale!$D$6,2)))</f>
        <v/>
      </c>
      <c r="AU58" s="61" t="str">
        <f>IF($C58="","",1-IF(IF(Deal="Commit to the full plan",PlanStores,$A58)&gt;=PBAt4,Scale!$D$12,IF(IF(Deal="Commit to the full plan",PlanStores,$A58)&gt;=PBAt3,Scale!$D$11,IF(IF(Deal="Commit to the full plan",PlanStores,$A58)&gt;=PBAt2,Scale!$D$10,IF(IF(Deal="Commit to the full plan",PlanStores,$A58)&gt;=PBAt1,Scale!$D$9,0)))))</f>
        <v/>
      </c>
      <c r="AV58" s="61" t="str">
        <f>IF($C58="","",MAX(Scale!$E$7,($D58+Scale!$E$8*($A58-$D58))^LOG(Scale!$E$6,2)))</f>
        <v/>
      </c>
      <c r="AW58" s="61" t="str">
        <f>IF($C58="","",1-IF(IF(Deal="Commit to the full plan",PlanStores,$A58)&gt;=PBAt4,Scale!$E$12,IF(IF(Deal="Commit to the full plan",PlanStores,$A58)&gt;=PBAt3,Scale!$E$11,IF(IF(Deal="Commit to the full plan",PlanStores,$A58)&gt;=PBAt2,Scale!$E$10,IF(IF(Deal="Commit to the full plan",PlanStores,$A58)&gt;=PBAt1,Scale!$E$9,0)))))</f>
        <v/>
      </c>
    </row>
    <row r="59">
      <c r="A59" s="110" t="n">
        <v>38</v>
      </c>
      <c r="B59" s="111" t="str">
        <f>IF($A59&gt;PlanStores,"",1+COUNTIF(CumOpenings,"&lt;"&amp;$A59))</f>
        <v/>
      </c>
      <c r="C59" s="14" t="str">
        <f>IF($A59&gt;PlanStores,"",IF(AND($A59=1,FlagshipFirst="Yes",INDEX(Target,1)&gt;0),"SPLUS",IF(AND(AI59&gt;=AJ59,AI59&gt;=AK59),"SPLUS",IF(AJ59&gt;=AK59,"S","D"))))</f>
        <v/>
      </c>
      <c r="D59" s="111" t="str">
        <f>IF($C59="","",IF($C59="SPLUS",AF59,IF($C59="S",AG59,AH59)))</f>
        <v/>
      </c>
      <c r="E59" s="112" t="str">
        <f>IF($C59="","",$D59+LearnShared*($A59-$D59))</f>
        <v/>
      </c>
      <c r="F59" s="85" t="str">
        <f>IF($C59="","",MAX(LearnFloor,$E59^LOG(LearnRate,2)))</f>
        <v/>
      </c>
      <c r="G59" s="85" t="str">
        <f>IF($C59="","",1-IF(IF(Deal="Commit to the full plan",PlanStores,$A59)&gt;=PBAt4,PBDisc4,IF(IF(Deal="Commit to the full plan",PlanStores,$A59)&gt;=PBAt3,PBDisc3,IF(IF(Deal="Commit to the full plan",PlanStores,$A59)&gt;=PBAt2,PBDisc2,IF(IF(Deal="Commit to the full plan",PlanStores,$A59)&gt;=PBAt1,PBDisc1,0)))))</f>
        <v/>
      </c>
      <c r="H59" s="39" t="str">
        <f>IF($C59="","",INDEX(BaseL,AL59)*$F59+INDEX(BaseV,AL59)*$G59+INDEX(BaseN,AL59))</f>
        <v/>
      </c>
      <c r="I59" s="39" t="str">
        <f>IF($C59="","",$H59*(1+BuildInflation)^($B59-1))</f>
        <v/>
      </c>
      <c r="J59" s="40" t="str">
        <f>IF($C59="","",IF(AN59="",IF(INDEX(Cand,AL59)=0,"No street of this size","Typical "&amp;LOWER(INDEX(TierNames,AL59))&amp;" street"),INDEX(Melbourne!$B$58:$B$135,AN59)))</f>
        <v/>
      </c>
      <c r="K59" s="40" t="str">
        <f>IF(OR($C59="",AN59=""),"",INDEX(Melbourne!$C$58:$C$135,AN59))</f>
        <v/>
      </c>
      <c r="L59" s="46" t="str">
        <f>IF($C59="","",IF(AN59="",INDEX(TypicalF,AL59),INDEX(Melbourne!$E$58:$E$135,AN59)))</f>
        <v/>
      </c>
      <c r="M59" s="86" t="str">
        <f>IF($C59="","",IF(AN59="",INDEX(TypicalQ,AL59),INDEX(Melbourne!$N$58:$N$135,AN59)))</f>
        <v/>
      </c>
      <c r="N59" s="39" t="str">
        <f>IF($C59="","",MIN($L59*Capture*$M59*Conversion*Ticket,INDEX(CapacityPsf,AL59)*INDEX(Area,AL59)))</f>
        <v/>
      </c>
      <c r="O59" s="39" t="str">
        <f>IF($C59="","",INDEX(Area,AL59)*RentPsf*($L59/Fref)^RentElasticity)</f>
        <v/>
      </c>
      <c r="P59" s="39" t="str">
        <f>IF($C59="","",$O59+INDEX(RunOther,AL59))</f>
        <v/>
      </c>
      <c r="Q59" s="95" t="str">
        <f>IF($C59="","",$N59*ContribMargin-$P59-INDEX(LicPlan,AL59))</f>
        <v/>
      </c>
      <c r="R59" s="113" t="str">
        <f>IF($C59="","",IF(AND(AO59&gt;=$H59,AO59&gt;0),$H59/AO59,IF(AND(AO59+AP59&gt;=$H59,AP59&gt;0),1+($H59-AO59)/AP59,IF($Q59&gt;0,2+($H59-AO59-AP59)/$Q59,"Never"))))</f>
        <v/>
      </c>
      <c r="S59" s="39" t="str">
        <f>IF($C59="","",StockWeeks/52*$N59*(1-GrossMargin))</f>
        <v/>
      </c>
      <c r="U59" s="95">
        <f>IF(OR($C59="",U$21&lt;$B59),0,IF(U$21=$B59,OpenYearShare,1)*($N59*ContribMargin*IF(U$21=$B59,Ramp1,IF(U$21=$B59+1,Ramp2,1))-$P59-INDEX(LicByYear,AL59,U$21)))</f>
        <v>0</v>
      </c>
      <c r="V59" s="95">
        <f>IF(OR($C59="",V$21&lt;$B59),0,IF(V$21=$B59,OpenYearShare,1)*($N59*ContribMargin*IF(V$21=$B59,Ramp1,IF(V$21=$B59+1,Ramp2,1))-$P59-INDEX(LicByYear,AL59,V$21)))</f>
        <v>0</v>
      </c>
      <c r="W59" s="95">
        <f>IF(OR($C59="",W$21&lt;$B59),0,IF(W$21=$B59,OpenYearShare,1)*($N59*ContribMargin*IF(W$21=$B59,Ramp1,IF(W$21=$B59+1,Ramp2,1))-$P59-INDEX(LicByYear,AL59,W$21)))</f>
        <v>0</v>
      </c>
      <c r="X59" s="95">
        <f>IF(OR($C59="",X$21&lt;$B59),0,IF(X$21=$B59,OpenYearShare,1)*($N59*ContribMargin*IF(X$21=$B59,Ramp1,IF(X$21=$B59+1,Ramp2,1))-$P59-INDEX(LicByYear,AL59,X$21)))</f>
        <v>0</v>
      </c>
      <c r="Y59" s="95">
        <f>IF(OR($C59="",Y$21&lt;$B59),0,IF(Y$21=$B59,OpenYearShare,1)*($N59*ContribMargin*IF(Y$21=$B59,Ramp1,IF(Y$21=$B59+1,Ramp2,1))-$P59-INDEX(LicByYear,AL59,Y$21)))</f>
        <v>0</v>
      </c>
      <c r="Z59" s="95">
        <f>IF(OR($C59="",Z$21&lt;$B59),0,IF(Z$21=$B59,OpenYearShare,1)*($N59*ContribMargin*IF(Z$21=$B59,Ramp1,IF(Z$21=$B59+1,Ramp2,1))-$P59-INDEX(LicByYear,AL59,Z$21)))</f>
        <v>0</v>
      </c>
      <c r="AA59" s="95">
        <f>IF(OR($C59="",AA$21&lt;$B59),0,IF(AA$21=$B59,OpenYearShare,1)*($N59*ContribMargin*IF(AA$21=$B59,Ramp1,IF(AA$21=$B59+1,Ramp2,1))-$P59-INDEX(LicByYear,AL59,AA$21)))</f>
        <v>0</v>
      </c>
      <c r="AB59" s="95">
        <f>IF(OR($C59="",AB$21&lt;$B59),0,IF(AB$21=$B59,OpenYearShare,1)*($N59*ContribMargin*IF(AB$21=$B59,Ramp1,IF(AB$21=$B59+1,Ramp2,1))-$P59-INDEX(LicByYear,AL59,AB$21)))</f>
        <v>0</v>
      </c>
      <c r="AC59" s="95">
        <f>IF(OR($C59="",AC$21&lt;$B59),0,IF(AC$21=$B59,OpenYearShare,1)*($N59*ContribMargin*IF(AC$21=$B59,Ramp1,IF(AC$21=$B59+1,Ramp2,1))-$P59-INDEX(LicByYear,AL59,AC$21)))</f>
        <v>0</v>
      </c>
      <c r="AD59" s="95">
        <f>IF(OR($C59="",AD$21&lt;$B59),0,IF(AD$21=$B59,OpenYearShare,1)*($N59*ContribMargin*IF(AD$21=$B59,Ramp1,IF(AD$21=$B59+1,Ramp2,1))-$P59-INDEX(LicByYear,AL59,AD$21)))</f>
        <v>0</v>
      </c>
      <c r="AF59" s="82">
        <f>AF58+IF($C59="SPLUS",1,0)</f>
        <v>7</v>
      </c>
      <c r="AG59" s="82">
        <f>AG58+IF($C59="S",1,0)</f>
        <v>15</v>
      </c>
      <c r="AH59" s="82">
        <f>AH58+IF($C59="D",1,0)</f>
        <v>8</v>
      </c>
      <c r="AI59" s="105">
        <f>IF(OR($A59&gt;PlanStores,AF58&gt;=INDEX(Target,1)),-1000000000,INDEX(Target,1)*$A59-AF58*PlanStores)</f>
        <v>-1000000000</v>
      </c>
      <c r="AJ59" s="105">
        <f>IF(OR($A59&gt;PlanStores,AG58&gt;=INDEX(Target,2)),-1000000000,INDEX(Target,2)*$A59-AG58*PlanStores)</f>
        <v>-1000000000</v>
      </c>
      <c r="AK59" s="105">
        <f>IF(OR($A59&gt;PlanStores,AH58&gt;=INDEX(Target,3)),-1000000000,INDEX(Target,3)*$A59-AH58*PlanStores)</f>
        <v>-1000000000</v>
      </c>
      <c r="AL59" s="82" t="str">
        <f>IF($C59="","",MATCH($C59,TierCodes,0))</f>
        <v/>
      </c>
      <c r="AM59" s="82" t="str">
        <f>IF($C59="","",IF(OR(StreetChoice="Typical street for its size",INDEX(Cand,AL59)=0),"",MOD($D59-1,INDEX(Cand,AL59))+1))</f>
        <v/>
      </c>
      <c r="AN59" s="82" t="str">
        <f>IF(AM59="","",MATCH($C59&amp;"|"&amp;AM59,Melbourne!$AA$58:$AA$135,0))</f>
        <v/>
      </c>
      <c r="AO59" s="76" t="str">
        <f>IF($C59="","",Ramp1*$N59*ContribMargin-$P59-INDEX(LicPlan,AL59))</f>
        <v/>
      </c>
      <c r="AP59" s="76" t="str">
        <f>IF($C59="","",Ramp2*$N59*ContribMargin-$P59-INDEX(LicPlan,AL59))</f>
        <v/>
      </c>
      <c r="AR59" s="61" t="str">
        <f>IF($C59="","",MAX(Scale!$C$7,($D59+Scale!$C$8*($A59-$D59))^LOG(Scale!$C$6,2)))</f>
        <v/>
      </c>
      <c r="AS59" s="61" t="str">
        <f>IF($C59="","",1-IF(IF(Deal="Commit to the full plan",PlanStores,$A59)&gt;=PBAt4,Scale!$C$12,IF(IF(Deal="Commit to the full plan",PlanStores,$A59)&gt;=PBAt3,Scale!$C$11,IF(IF(Deal="Commit to the full plan",PlanStores,$A59)&gt;=PBAt2,Scale!$C$10,IF(IF(Deal="Commit to the full plan",PlanStores,$A59)&gt;=PBAt1,Scale!$C$9,0)))))</f>
        <v/>
      </c>
      <c r="AT59" s="61" t="str">
        <f>IF($C59="","",MAX(Scale!$D$7,($D59+Scale!$D$8*($A59-$D59))^LOG(Scale!$D$6,2)))</f>
        <v/>
      </c>
      <c r="AU59" s="61" t="str">
        <f>IF($C59="","",1-IF(IF(Deal="Commit to the full plan",PlanStores,$A59)&gt;=PBAt4,Scale!$D$12,IF(IF(Deal="Commit to the full plan",PlanStores,$A59)&gt;=PBAt3,Scale!$D$11,IF(IF(Deal="Commit to the full plan",PlanStores,$A59)&gt;=PBAt2,Scale!$D$10,IF(IF(Deal="Commit to the full plan",PlanStores,$A59)&gt;=PBAt1,Scale!$D$9,0)))))</f>
        <v/>
      </c>
      <c r="AV59" s="61" t="str">
        <f>IF($C59="","",MAX(Scale!$E$7,($D59+Scale!$E$8*($A59-$D59))^LOG(Scale!$E$6,2)))</f>
        <v/>
      </c>
      <c r="AW59" s="61" t="str">
        <f>IF($C59="","",1-IF(IF(Deal="Commit to the full plan",PlanStores,$A59)&gt;=PBAt4,Scale!$E$12,IF(IF(Deal="Commit to the full plan",PlanStores,$A59)&gt;=PBAt3,Scale!$E$11,IF(IF(Deal="Commit to the full plan",PlanStores,$A59)&gt;=PBAt2,Scale!$E$10,IF(IF(Deal="Commit to the full plan",PlanStores,$A59)&gt;=PBAt1,Scale!$E$9,0)))))</f>
        <v/>
      </c>
    </row>
    <row r="60">
      <c r="A60" s="110" t="n">
        <v>39</v>
      </c>
      <c r="B60" s="111" t="str">
        <f>IF($A60&gt;PlanStores,"",1+COUNTIF(CumOpenings,"&lt;"&amp;$A60))</f>
        <v/>
      </c>
      <c r="C60" s="14" t="str">
        <f>IF($A60&gt;PlanStores,"",IF(AND($A60=1,FlagshipFirst="Yes",INDEX(Target,1)&gt;0),"SPLUS",IF(AND(AI60&gt;=AJ60,AI60&gt;=AK60),"SPLUS",IF(AJ60&gt;=AK60,"S","D"))))</f>
        <v/>
      </c>
      <c r="D60" s="111" t="str">
        <f>IF($C60="","",IF($C60="SPLUS",AF60,IF($C60="S",AG60,AH60)))</f>
        <v/>
      </c>
      <c r="E60" s="112" t="str">
        <f>IF($C60="","",$D60+LearnShared*($A60-$D60))</f>
        <v/>
      </c>
      <c r="F60" s="85" t="str">
        <f>IF($C60="","",MAX(LearnFloor,$E60^LOG(LearnRate,2)))</f>
        <v/>
      </c>
      <c r="G60" s="85" t="str">
        <f>IF($C60="","",1-IF(IF(Deal="Commit to the full plan",PlanStores,$A60)&gt;=PBAt4,PBDisc4,IF(IF(Deal="Commit to the full plan",PlanStores,$A60)&gt;=PBAt3,PBDisc3,IF(IF(Deal="Commit to the full plan",PlanStores,$A60)&gt;=PBAt2,PBDisc2,IF(IF(Deal="Commit to the full plan",PlanStores,$A60)&gt;=PBAt1,PBDisc1,0)))))</f>
        <v/>
      </c>
      <c r="H60" s="39" t="str">
        <f>IF($C60="","",INDEX(BaseL,AL60)*$F60+INDEX(BaseV,AL60)*$G60+INDEX(BaseN,AL60))</f>
        <v/>
      </c>
      <c r="I60" s="39" t="str">
        <f>IF($C60="","",$H60*(1+BuildInflation)^($B60-1))</f>
        <v/>
      </c>
      <c r="J60" s="40" t="str">
        <f>IF($C60="","",IF(AN60="",IF(INDEX(Cand,AL60)=0,"No street of this size","Typical "&amp;LOWER(INDEX(TierNames,AL60))&amp;" street"),INDEX(Melbourne!$B$58:$B$135,AN60)))</f>
        <v/>
      </c>
      <c r="K60" s="40" t="str">
        <f>IF(OR($C60="",AN60=""),"",INDEX(Melbourne!$C$58:$C$135,AN60))</f>
        <v/>
      </c>
      <c r="L60" s="46" t="str">
        <f>IF($C60="","",IF(AN60="",INDEX(TypicalF,AL60),INDEX(Melbourne!$E$58:$E$135,AN60)))</f>
        <v/>
      </c>
      <c r="M60" s="86" t="str">
        <f>IF($C60="","",IF(AN60="",INDEX(TypicalQ,AL60),INDEX(Melbourne!$N$58:$N$135,AN60)))</f>
        <v/>
      </c>
      <c r="N60" s="39" t="str">
        <f>IF($C60="","",MIN($L60*Capture*$M60*Conversion*Ticket,INDEX(CapacityPsf,AL60)*INDEX(Area,AL60)))</f>
        <v/>
      </c>
      <c r="O60" s="39" t="str">
        <f>IF($C60="","",INDEX(Area,AL60)*RentPsf*($L60/Fref)^RentElasticity)</f>
        <v/>
      </c>
      <c r="P60" s="39" t="str">
        <f>IF($C60="","",$O60+INDEX(RunOther,AL60))</f>
        <v/>
      </c>
      <c r="Q60" s="95" t="str">
        <f>IF($C60="","",$N60*ContribMargin-$P60-INDEX(LicPlan,AL60))</f>
        <v/>
      </c>
      <c r="R60" s="113" t="str">
        <f>IF($C60="","",IF(AND(AO60&gt;=$H60,AO60&gt;0),$H60/AO60,IF(AND(AO60+AP60&gt;=$H60,AP60&gt;0),1+($H60-AO60)/AP60,IF($Q60&gt;0,2+($H60-AO60-AP60)/$Q60,"Never"))))</f>
        <v/>
      </c>
      <c r="S60" s="39" t="str">
        <f>IF($C60="","",StockWeeks/52*$N60*(1-GrossMargin))</f>
        <v/>
      </c>
      <c r="U60" s="95">
        <f>IF(OR($C60="",U$21&lt;$B60),0,IF(U$21=$B60,OpenYearShare,1)*($N60*ContribMargin*IF(U$21=$B60,Ramp1,IF(U$21=$B60+1,Ramp2,1))-$P60-INDEX(LicByYear,AL60,U$21)))</f>
        <v>0</v>
      </c>
      <c r="V60" s="95">
        <f>IF(OR($C60="",V$21&lt;$B60),0,IF(V$21=$B60,OpenYearShare,1)*($N60*ContribMargin*IF(V$21=$B60,Ramp1,IF(V$21=$B60+1,Ramp2,1))-$P60-INDEX(LicByYear,AL60,V$21)))</f>
        <v>0</v>
      </c>
      <c r="W60" s="95">
        <f>IF(OR($C60="",W$21&lt;$B60),0,IF(W$21=$B60,OpenYearShare,1)*($N60*ContribMargin*IF(W$21=$B60,Ramp1,IF(W$21=$B60+1,Ramp2,1))-$P60-INDEX(LicByYear,AL60,W$21)))</f>
        <v>0</v>
      </c>
      <c r="X60" s="95">
        <f>IF(OR($C60="",X$21&lt;$B60),0,IF(X$21=$B60,OpenYearShare,1)*($N60*ContribMargin*IF(X$21=$B60,Ramp1,IF(X$21=$B60+1,Ramp2,1))-$P60-INDEX(LicByYear,AL60,X$21)))</f>
        <v>0</v>
      </c>
      <c r="Y60" s="95">
        <f>IF(OR($C60="",Y$21&lt;$B60),0,IF(Y$21=$B60,OpenYearShare,1)*($N60*ContribMargin*IF(Y$21=$B60,Ramp1,IF(Y$21=$B60+1,Ramp2,1))-$P60-INDEX(LicByYear,AL60,Y$21)))</f>
        <v>0</v>
      </c>
      <c r="Z60" s="95">
        <f>IF(OR($C60="",Z$21&lt;$B60),0,IF(Z$21=$B60,OpenYearShare,1)*($N60*ContribMargin*IF(Z$21=$B60,Ramp1,IF(Z$21=$B60+1,Ramp2,1))-$P60-INDEX(LicByYear,AL60,Z$21)))</f>
        <v>0</v>
      </c>
      <c r="AA60" s="95">
        <f>IF(OR($C60="",AA$21&lt;$B60),0,IF(AA$21=$B60,OpenYearShare,1)*($N60*ContribMargin*IF(AA$21=$B60,Ramp1,IF(AA$21=$B60+1,Ramp2,1))-$P60-INDEX(LicByYear,AL60,AA$21)))</f>
        <v>0</v>
      </c>
      <c r="AB60" s="95">
        <f>IF(OR($C60="",AB$21&lt;$B60),0,IF(AB$21=$B60,OpenYearShare,1)*($N60*ContribMargin*IF(AB$21=$B60,Ramp1,IF(AB$21=$B60+1,Ramp2,1))-$P60-INDEX(LicByYear,AL60,AB$21)))</f>
        <v>0</v>
      </c>
      <c r="AC60" s="95">
        <f>IF(OR($C60="",AC$21&lt;$B60),0,IF(AC$21=$B60,OpenYearShare,1)*($N60*ContribMargin*IF(AC$21=$B60,Ramp1,IF(AC$21=$B60+1,Ramp2,1))-$P60-INDEX(LicByYear,AL60,AC$21)))</f>
        <v>0</v>
      </c>
      <c r="AD60" s="95">
        <f>IF(OR($C60="",AD$21&lt;$B60),0,IF(AD$21=$B60,OpenYearShare,1)*($N60*ContribMargin*IF(AD$21=$B60,Ramp1,IF(AD$21=$B60+1,Ramp2,1))-$P60-INDEX(LicByYear,AL60,AD$21)))</f>
        <v>0</v>
      </c>
      <c r="AF60" s="82">
        <f>AF59+IF($C60="SPLUS",1,0)</f>
        <v>7</v>
      </c>
      <c r="AG60" s="82">
        <f>AG59+IF($C60="S",1,0)</f>
        <v>15</v>
      </c>
      <c r="AH60" s="82">
        <f>AH59+IF($C60="D",1,0)</f>
        <v>8</v>
      </c>
      <c r="AI60" s="105">
        <f>IF(OR($A60&gt;PlanStores,AF59&gt;=INDEX(Target,1)),-1000000000,INDEX(Target,1)*$A60-AF59*PlanStores)</f>
        <v>-1000000000</v>
      </c>
      <c r="AJ60" s="105">
        <f>IF(OR($A60&gt;PlanStores,AG59&gt;=INDEX(Target,2)),-1000000000,INDEX(Target,2)*$A60-AG59*PlanStores)</f>
        <v>-1000000000</v>
      </c>
      <c r="AK60" s="105">
        <f>IF(OR($A60&gt;PlanStores,AH59&gt;=INDEX(Target,3)),-1000000000,INDEX(Target,3)*$A60-AH59*PlanStores)</f>
        <v>-1000000000</v>
      </c>
      <c r="AL60" s="82" t="str">
        <f>IF($C60="","",MATCH($C60,TierCodes,0))</f>
        <v/>
      </c>
      <c r="AM60" s="82" t="str">
        <f>IF($C60="","",IF(OR(StreetChoice="Typical street for its size",INDEX(Cand,AL60)=0),"",MOD($D60-1,INDEX(Cand,AL60))+1))</f>
        <v/>
      </c>
      <c r="AN60" s="82" t="str">
        <f>IF(AM60="","",MATCH($C60&amp;"|"&amp;AM60,Melbourne!$AA$58:$AA$135,0))</f>
        <v/>
      </c>
      <c r="AO60" s="76" t="str">
        <f>IF($C60="","",Ramp1*$N60*ContribMargin-$P60-INDEX(LicPlan,AL60))</f>
        <v/>
      </c>
      <c r="AP60" s="76" t="str">
        <f>IF($C60="","",Ramp2*$N60*ContribMargin-$P60-INDEX(LicPlan,AL60))</f>
        <v/>
      </c>
      <c r="AR60" s="61" t="str">
        <f>IF($C60="","",MAX(Scale!$C$7,($D60+Scale!$C$8*($A60-$D60))^LOG(Scale!$C$6,2)))</f>
        <v/>
      </c>
      <c r="AS60" s="61" t="str">
        <f>IF($C60="","",1-IF(IF(Deal="Commit to the full plan",PlanStores,$A60)&gt;=PBAt4,Scale!$C$12,IF(IF(Deal="Commit to the full plan",PlanStores,$A60)&gt;=PBAt3,Scale!$C$11,IF(IF(Deal="Commit to the full plan",PlanStores,$A60)&gt;=PBAt2,Scale!$C$10,IF(IF(Deal="Commit to the full plan",PlanStores,$A60)&gt;=PBAt1,Scale!$C$9,0)))))</f>
        <v/>
      </c>
      <c r="AT60" s="61" t="str">
        <f>IF($C60="","",MAX(Scale!$D$7,($D60+Scale!$D$8*($A60-$D60))^LOG(Scale!$D$6,2)))</f>
        <v/>
      </c>
      <c r="AU60" s="61" t="str">
        <f>IF($C60="","",1-IF(IF(Deal="Commit to the full plan",PlanStores,$A60)&gt;=PBAt4,Scale!$D$12,IF(IF(Deal="Commit to the full plan",PlanStores,$A60)&gt;=PBAt3,Scale!$D$11,IF(IF(Deal="Commit to the full plan",PlanStores,$A60)&gt;=PBAt2,Scale!$D$10,IF(IF(Deal="Commit to the full plan",PlanStores,$A60)&gt;=PBAt1,Scale!$D$9,0)))))</f>
        <v/>
      </c>
      <c r="AV60" s="61" t="str">
        <f>IF($C60="","",MAX(Scale!$E$7,($D60+Scale!$E$8*($A60-$D60))^LOG(Scale!$E$6,2)))</f>
        <v/>
      </c>
      <c r="AW60" s="61" t="str">
        <f>IF($C60="","",1-IF(IF(Deal="Commit to the full plan",PlanStores,$A60)&gt;=PBAt4,Scale!$E$12,IF(IF(Deal="Commit to the full plan",PlanStores,$A60)&gt;=PBAt3,Scale!$E$11,IF(IF(Deal="Commit to the full plan",PlanStores,$A60)&gt;=PBAt2,Scale!$E$10,IF(IF(Deal="Commit to the full plan",PlanStores,$A60)&gt;=PBAt1,Scale!$E$9,0)))))</f>
        <v/>
      </c>
    </row>
    <row r="61">
      <c r="A61" s="110" t="n">
        <v>40</v>
      </c>
      <c r="B61" s="111" t="str">
        <f>IF($A61&gt;PlanStores,"",1+COUNTIF(CumOpenings,"&lt;"&amp;$A61))</f>
        <v/>
      </c>
      <c r="C61" s="14" t="str">
        <f>IF($A61&gt;PlanStores,"",IF(AND($A61=1,FlagshipFirst="Yes",INDEX(Target,1)&gt;0),"SPLUS",IF(AND(AI61&gt;=AJ61,AI61&gt;=AK61),"SPLUS",IF(AJ61&gt;=AK61,"S","D"))))</f>
        <v/>
      </c>
      <c r="D61" s="111" t="str">
        <f>IF($C61="","",IF($C61="SPLUS",AF61,IF($C61="S",AG61,AH61)))</f>
        <v/>
      </c>
      <c r="E61" s="112" t="str">
        <f>IF($C61="","",$D61+LearnShared*($A61-$D61))</f>
        <v/>
      </c>
      <c r="F61" s="85" t="str">
        <f>IF($C61="","",MAX(LearnFloor,$E61^LOG(LearnRate,2)))</f>
        <v/>
      </c>
      <c r="G61" s="85" t="str">
        <f>IF($C61="","",1-IF(IF(Deal="Commit to the full plan",PlanStores,$A61)&gt;=PBAt4,PBDisc4,IF(IF(Deal="Commit to the full plan",PlanStores,$A61)&gt;=PBAt3,PBDisc3,IF(IF(Deal="Commit to the full plan",PlanStores,$A61)&gt;=PBAt2,PBDisc2,IF(IF(Deal="Commit to the full plan",PlanStores,$A61)&gt;=PBAt1,PBDisc1,0)))))</f>
        <v/>
      </c>
      <c r="H61" s="39" t="str">
        <f>IF($C61="","",INDEX(BaseL,AL61)*$F61+INDEX(BaseV,AL61)*$G61+INDEX(BaseN,AL61))</f>
        <v/>
      </c>
      <c r="I61" s="39" t="str">
        <f>IF($C61="","",$H61*(1+BuildInflation)^($B61-1))</f>
        <v/>
      </c>
      <c r="J61" s="40" t="str">
        <f>IF($C61="","",IF(AN61="",IF(INDEX(Cand,AL61)=0,"No street of this size","Typical "&amp;LOWER(INDEX(TierNames,AL61))&amp;" street"),INDEX(Melbourne!$B$58:$B$135,AN61)))</f>
        <v/>
      </c>
      <c r="K61" s="40" t="str">
        <f>IF(OR($C61="",AN61=""),"",INDEX(Melbourne!$C$58:$C$135,AN61))</f>
        <v/>
      </c>
      <c r="L61" s="46" t="str">
        <f>IF($C61="","",IF(AN61="",INDEX(TypicalF,AL61),INDEX(Melbourne!$E$58:$E$135,AN61)))</f>
        <v/>
      </c>
      <c r="M61" s="86" t="str">
        <f>IF($C61="","",IF(AN61="",INDEX(TypicalQ,AL61),INDEX(Melbourne!$N$58:$N$135,AN61)))</f>
        <v/>
      </c>
      <c r="N61" s="39" t="str">
        <f>IF($C61="","",MIN($L61*Capture*$M61*Conversion*Ticket,INDEX(CapacityPsf,AL61)*INDEX(Area,AL61)))</f>
        <v/>
      </c>
      <c r="O61" s="39" t="str">
        <f>IF($C61="","",INDEX(Area,AL61)*RentPsf*($L61/Fref)^RentElasticity)</f>
        <v/>
      </c>
      <c r="P61" s="39" t="str">
        <f>IF($C61="","",$O61+INDEX(RunOther,AL61))</f>
        <v/>
      </c>
      <c r="Q61" s="95" t="str">
        <f>IF($C61="","",$N61*ContribMargin-$P61-INDEX(LicPlan,AL61))</f>
        <v/>
      </c>
      <c r="R61" s="113" t="str">
        <f>IF($C61="","",IF(AND(AO61&gt;=$H61,AO61&gt;0),$H61/AO61,IF(AND(AO61+AP61&gt;=$H61,AP61&gt;0),1+($H61-AO61)/AP61,IF($Q61&gt;0,2+($H61-AO61-AP61)/$Q61,"Never"))))</f>
        <v/>
      </c>
      <c r="S61" s="39" t="str">
        <f>IF($C61="","",StockWeeks/52*$N61*(1-GrossMargin))</f>
        <v/>
      </c>
      <c r="U61" s="95">
        <f>IF(OR($C61="",U$21&lt;$B61),0,IF(U$21=$B61,OpenYearShare,1)*($N61*ContribMargin*IF(U$21=$B61,Ramp1,IF(U$21=$B61+1,Ramp2,1))-$P61-INDEX(LicByYear,AL61,U$21)))</f>
        <v>0</v>
      </c>
      <c r="V61" s="95">
        <f>IF(OR($C61="",V$21&lt;$B61),0,IF(V$21=$B61,OpenYearShare,1)*($N61*ContribMargin*IF(V$21=$B61,Ramp1,IF(V$21=$B61+1,Ramp2,1))-$P61-INDEX(LicByYear,AL61,V$21)))</f>
        <v>0</v>
      </c>
      <c r="W61" s="95">
        <f>IF(OR($C61="",W$21&lt;$B61),0,IF(W$21=$B61,OpenYearShare,1)*($N61*ContribMargin*IF(W$21=$B61,Ramp1,IF(W$21=$B61+1,Ramp2,1))-$P61-INDEX(LicByYear,AL61,W$21)))</f>
        <v>0</v>
      </c>
      <c r="X61" s="95">
        <f>IF(OR($C61="",X$21&lt;$B61),0,IF(X$21=$B61,OpenYearShare,1)*($N61*ContribMargin*IF(X$21=$B61,Ramp1,IF(X$21=$B61+1,Ramp2,1))-$P61-INDEX(LicByYear,AL61,X$21)))</f>
        <v>0</v>
      </c>
      <c r="Y61" s="95">
        <f>IF(OR($C61="",Y$21&lt;$B61),0,IF(Y$21=$B61,OpenYearShare,1)*($N61*ContribMargin*IF(Y$21=$B61,Ramp1,IF(Y$21=$B61+1,Ramp2,1))-$P61-INDEX(LicByYear,AL61,Y$21)))</f>
        <v>0</v>
      </c>
      <c r="Z61" s="95">
        <f>IF(OR($C61="",Z$21&lt;$B61),0,IF(Z$21=$B61,OpenYearShare,1)*($N61*ContribMargin*IF(Z$21=$B61,Ramp1,IF(Z$21=$B61+1,Ramp2,1))-$P61-INDEX(LicByYear,AL61,Z$21)))</f>
        <v>0</v>
      </c>
      <c r="AA61" s="95">
        <f>IF(OR($C61="",AA$21&lt;$B61),0,IF(AA$21=$B61,OpenYearShare,1)*($N61*ContribMargin*IF(AA$21=$B61,Ramp1,IF(AA$21=$B61+1,Ramp2,1))-$P61-INDEX(LicByYear,AL61,AA$21)))</f>
        <v>0</v>
      </c>
      <c r="AB61" s="95">
        <f>IF(OR($C61="",AB$21&lt;$B61),0,IF(AB$21=$B61,OpenYearShare,1)*($N61*ContribMargin*IF(AB$21=$B61,Ramp1,IF(AB$21=$B61+1,Ramp2,1))-$P61-INDEX(LicByYear,AL61,AB$21)))</f>
        <v>0</v>
      </c>
      <c r="AC61" s="95">
        <f>IF(OR($C61="",AC$21&lt;$B61),0,IF(AC$21=$B61,OpenYearShare,1)*($N61*ContribMargin*IF(AC$21=$B61,Ramp1,IF(AC$21=$B61+1,Ramp2,1))-$P61-INDEX(LicByYear,AL61,AC$21)))</f>
        <v>0</v>
      </c>
      <c r="AD61" s="95">
        <f>IF(OR($C61="",AD$21&lt;$B61),0,IF(AD$21=$B61,OpenYearShare,1)*($N61*ContribMargin*IF(AD$21=$B61,Ramp1,IF(AD$21=$B61+1,Ramp2,1))-$P61-INDEX(LicByYear,AL61,AD$21)))</f>
        <v>0</v>
      </c>
      <c r="AF61" s="82">
        <f>AF60+IF($C61="SPLUS",1,0)</f>
        <v>7</v>
      </c>
      <c r="AG61" s="82">
        <f>AG60+IF($C61="S",1,0)</f>
        <v>15</v>
      </c>
      <c r="AH61" s="82">
        <f>AH60+IF($C61="D",1,0)</f>
        <v>8</v>
      </c>
      <c r="AI61" s="105">
        <f>IF(OR($A61&gt;PlanStores,AF60&gt;=INDEX(Target,1)),-1000000000,INDEX(Target,1)*$A61-AF60*PlanStores)</f>
        <v>-1000000000</v>
      </c>
      <c r="AJ61" s="105">
        <f>IF(OR($A61&gt;PlanStores,AG60&gt;=INDEX(Target,2)),-1000000000,INDEX(Target,2)*$A61-AG60*PlanStores)</f>
        <v>-1000000000</v>
      </c>
      <c r="AK61" s="105">
        <f>IF(OR($A61&gt;PlanStores,AH60&gt;=INDEX(Target,3)),-1000000000,INDEX(Target,3)*$A61-AH60*PlanStores)</f>
        <v>-1000000000</v>
      </c>
      <c r="AL61" s="82" t="str">
        <f>IF($C61="","",MATCH($C61,TierCodes,0))</f>
        <v/>
      </c>
      <c r="AM61" s="82" t="str">
        <f>IF($C61="","",IF(OR(StreetChoice="Typical street for its size",INDEX(Cand,AL61)=0),"",MOD($D61-1,INDEX(Cand,AL61))+1))</f>
        <v/>
      </c>
      <c r="AN61" s="82" t="str">
        <f>IF(AM61="","",MATCH($C61&amp;"|"&amp;AM61,Melbourne!$AA$58:$AA$135,0))</f>
        <v/>
      </c>
      <c r="AO61" s="76" t="str">
        <f>IF($C61="","",Ramp1*$N61*ContribMargin-$P61-INDEX(LicPlan,AL61))</f>
        <v/>
      </c>
      <c r="AP61" s="76" t="str">
        <f>IF($C61="","",Ramp2*$N61*ContribMargin-$P61-INDEX(LicPlan,AL61))</f>
        <v/>
      </c>
      <c r="AR61" s="61" t="str">
        <f>IF($C61="","",MAX(Scale!$C$7,($D61+Scale!$C$8*($A61-$D61))^LOG(Scale!$C$6,2)))</f>
        <v/>
      </c>
      <c r="AS61" s="61" t="str">
        <f>IF($C61="","",1-IF(IF(Deal="Commit to the full plan",PlanStores,$A61)&gt;=PBAt4,Scale!$C$12,IF(IF(Deal="Commit to the full plan",PlanStores,$A61)&gt;=PBAt3,Scale!$C$11,IF(IF(Deal="Commit to the full plan",PlanStores,$A61)&gt;=PBAt2,Scale!$C$10,IF(IF(Deal="Commit to the full plan",PlanStores,$A61)&gt;=PBAt1,Scale!$C$9,0)))))</f>
        <v/>
      </c>
      <c r="AT61" s="61" t="str">
        <f>IF($C61="","",MAX(Scale!$D$7,($D61+Scale!$D$8*($A61-$D61))^LOG(Scale!$D$6,2)))</f>
        <v/>
      </c>
      <c r="AU61" s="61" t="str">
        <f>IF($C61="","",1-IF(IF(Deal="Commit to the full plan",PlanStores,$A61)&gt;=PBAt4,Scale!$D$12,IF(IF(Deal="Commit to the full plan",PlanStores,$A61)&gt;=PBAt3,Scale!$D$11,IF(IF(Deal="Commit to the full plan",PlanStores,$A61)&gt;=PBAt2,Scale!$D$10,IF(IF(Deal="Commit to the full plan",PlanStores,$A61)&gt;=PBAt1,Scale!$D$9,0)))))</f>
        <v/>
      </c>
      <c r="AV61" s="61" t="str">
        <f>IF($C61="","",MAX(Scale!$E$7,($D61+Scale!$E$8*($A61-$D61))^LOG(Scale!$E$6,2)))</f>
        <v/>
      </c>
      <c r="AW61" s="61" t="str">
        <f>IF($C61="","",1-IF(IF(Deal="Commit to the full plan",PlanStores,$A61)&gt;=PBAt4,Scale!$E$12,IF(IF(Deal="Commit to the full plan",PlanStores,$A61)&gt;=PBAt3,Scale!$E$11,IF(IF(Deal="Commit to the full plan",PlanStores,$A61)&gt;=PBAt2,Scale!$E$10,IF(IF(Deal="Commit to the full plan",PlanStores,$A61)&gt;=PBAt1,Scale!$E$9,0)))))</f>
        <v/>
      </c>
    </row>
    <row r="62">
      <c r="A62" s="110" t="n">
        <v>41</v>
      </c>
      <c r="B62" s="111" t="str">
        <f>IF($A62&gt;PlanStores,"",1+COUNTIF(CumOpenings,"&lt;"&amp;$A62))</f>
        <v/>
      </c>
      <c r="C62" s="14" t="str">
        <f>IF($A62&gt;PlanStores,"",IF(AND($A62=1,FlagshipFirst="Yes",INDEX(Target,1)&gt;0),"SPLUS",IF(AND(AI62&gt;=AJ62,AI62&gt;=AK62),"SPLUS",IF(AJ62&gt;=AK62,"S","D"))))</f>
        <v/>
      </c>
      <c r="D62" s="111" t="str">
        <f>IF($C62="","",IF($C62="SPLUS",AF62,IF($C62="S",AG62,AH62)))</f>
        <v/>
      </c>
      <c r="E62" s="112" t="str">
        <f>IF($C62="","",$D62+LearnShared*($A62-$D62))</f>
        <v/>
      </c>
      <c r="F62" s="85" t="str">
        <f>IF($C62="","",MAX(LearnFloor,$E62^LOG(LearnRate,2)))</f>
        <v/>
      </c>
      <c r="G62" s="85" t="str">
        <f>IF($C62="","",1-IF(IF(Deal="Commit to the full plan",PlanStores,$A62)&gt;=PBAt4,PBDisc4,IF(IF(Deal="Commit to the full plan",PlanStores,$A62)&gt;=PBAt3,PBDisc3,IF(IF(Deal="Commit to the full plan",PlanStores,$A62)&gt;=PBAt2,PBDisc2,IF(IF(Deal="Commit to the full plan",PlanStores,$A62)&gt;=PBAt1,PBDisc1,0)))))</f>
        <v/>
      </c>
      <c r="H62" s="39" t="str">
        <f>IF($C62="","",INDEX(BaseL,AL62)*$F62+INDEX(BaseV,AL62)*$G62+INDEX(BaseN,AL62))</f>
        <v/>
      </c>
      <c r="I62" s="39" t="str">
        <f>IF($C62="","",$H62*(1+BuildInflation)^($B62-1))</f>
        <v/>
      </c>
      <c r="J62" s="40" t="str">
        <f>IF($C62="","",IF(AN62="",IF(INDEX(Cand,AL62)=0,"No street of this size","Typical "&amp;LOWER(INDEX(TierNames,AL62))&amp;" street"),INDEX(Melbourne!$B$58:$B$135,AN62)))</f>
        <v/>
      </c>
      <c r="K62" s="40" t="str">
        <f>IF(OR($C62="",AN62=""),"",INDEX(Melbourne!$C$58:$C$135,AN62))</f>
        <v/>
      </c>
      <c r="L62" s="46" t="str">
        <f>IF($C62="","",IF(AN62="",INDEX(TypicalF,AL62),INDEX(Melbourne!$E$58:$E$135,AN62)))</f>
        <v/>
      </c>
      <c r="M62" s="86" t="str">
        <f>IF($C62="","",IF(AN62="",INDEX(TypicalQ,AL62),INDEX(Melbourne!$N$58:$N$135,AN62)))</f>
        <v/>
      </c>
      <c r="N62" s="39" t="str">
        <f>IF($C62="","",MIN($L62*Capture*$M62*Conversion*Ticket,INDEX(CapacityPsf,AL62)*INDEX(Area,AL62)))</f>
        <v/>
      </c>
      <c r="O62" s="39" t="str">
        <f>IF($C62="","",INDEX(Area,AL62)*RentPsf*($L62/Fref)^RentElasticity)</f>
        <v/>
      </c>
      <c r="P62" s="39" t="str">
        <f>IF($C62="","",$O62+INDEX(RunOther,AL62))</f>
        <v/>
      </c>
      <c r="Q62" s="95" t="str">
        <f>IF($C62="","",$N62*ContribMargin-$P62-INDEX(LicPlan,AL62))</f>
        <v/>
      </c>
      <c r="R62" s="113" t="str">
        <f>IF($C62="","",IF(AND(AO62&gt;=$H62,AO62&gt;0),$H62/AO62,IF(AND(AO62+AP62&gt;=$H62,AP62&gt;0),1+($H62-AO62)/AP62,IF($Q62&gt;0,2+($H62-AO62-AP62)/$Q62,"Never"))))</f>
        <v/>
      </c>
      <c r="S62" s="39" t="str">
        <f>IF($C62="","",StockWeeks/52*$N62*(1-GrossMargin))</f>
        <v/>
      </c>
      <c r="U62" s="95">
        <f>IF(OR($C62="",U$21&lt;$B62),0,IF(U$21=$B62,OpenYearShare,1)*($N62*ContribMargin*IF(U$21=$B62,Ramp1,IF(U$21=$B62+1,Ramp2,1))-$P62-INDEX(LicByYear,AL62,U$21)))</f>
        <v>0</v>
      </c>
      <c r="V62" s="95">
        <f>IF(OR($C62="",V$21&lt;$B62),0,IF(V$21=$B62,OpenYearShare,1)*($N62*ContribMargin*IF(V$21=$B62,Ramp1,IF(V$21=$B62+1,Ramp2,1))-$P62-INDEX(LicByYear,AL62,V$21)))</f>
        <v>0</v>
      </c>
      <c r="W62" s="95">
        <f>IF(OR($C62="",W$21&lt;$B62),0,IF(W$21=$B62,OpenYearShare,1)*($N62*ContribMargin*IF(W$21=$B62,Ramp1,IF(W$21=$B62+1,Ramp2,1))-$P62-INDEX(LicByYear,AL62,W$21)))</f>
        <v>0</v>
      </c>
      <c r="X62" s="95">
        <f>IF(OR($C62="",X$21&lt;$B62),0,IF(X$21=$B62,OpenYearShare,1)*($N62*ContribMargin*IF(X$21=$B62,Ramp1,IF(X$21=$B62+1,Ramp2,1))-$P62-INDEX(LicByYear,AL62,X$21)))</f>
        <v>0</v>
      </c>
      <c r="Y62" s="95">
        <f>IF(OR($C62="",Y$21&lt;$B62),0,IF(Y$21=$B62,OpenYearShare,1)*($N62*ContribMargin*IF(Y$21=$B62,Ramp1,IF(Y$21=$B62+1,Ramp2,1))-$P62-INDEX(LicByYear,AL62,Y$21)))</f>
        <v>0</v>
      </c>
      <c r="Z62" s="95">
        <f>IF(OR($C62="",Z$21&lt;$B62),0,IF(Z$21=$B62,OpenYearShare,1)*($N62*ContribMargin*IF(Z$21=$B62,Ramp1,IF(Z$21=$B62+1,Ramp2,1))-$P62-INDEX(LicByYear,AL62,Z$21)))</f>
        <v>0</v>
      </c>
      <c r="AA62" s="95">
        <f>IF(OR($C62="",AA$21&lt;$B62),0,IF(AA$21=$B62,OpenYearShare,1)*($N62*ContribMargin*IF(AA$21=$B62,Ramp1,IF(AA$21=$B62+1,Ramp2,1))-$P62-INDEX(LicByYear,AL62,AA$21)))</f>
        <v>0</v>
      </c>
      <c r="AB62" s="95">
        <f>IF(OR($C62="",AB$21&lt;$B62),0,IF(AB$21=$B62,OpenYearShare,1)*($N62*ContribMargin*IF(AB$21=$B62,Ramp1,IF(AB$21=$B62+1,Ramp2,1))-$P62-INDEX(LicByYear,AL62,AB$21)))</f>
        <v>0</v>
      </c>
      <c r="AC62" s="95">
        <f>IF(OR($C62="",AC$21&lt;$B62),0,IF(AC$21=$B62,OpenYearShare,1)*($N62*ContribMargin*IF(AC$21=$B62,Ramp1,IF(AC$21=$B62+1,Ramp2,1))-$P62-INDEX(LicByYear,AL62,AC$21)))</f>
        <v>0</v>
      </c>
      <c r="AD62" s="95">
        <f>IF(OR($C62="",AD$21&lt;$B62),0,IF(AD$21=$B62,OpenYearShare,1)*($N62*ContribMargin*IF(AD$21=$B62,Ramp1,IF(AD$21=$B62+1,Ramp2,1))-$P62-INDEX(LicByYear,AL62,AD$21)))</f>
        <v>0</v>
      </c>
      <c r="AF62" s="82">
        <f>AF61+IF($C62="SPLUS",1,0)</f>
        <v>7</v>
      </c>
      <c r="AG62" s="82">
        <f>AG61+IF($C62="S",1,0)</f>
        <v>15</v>
      </c>
      <c r="AH62" s="82">
        <f>AH61+IF($C62="D",1,0)</f>
        <v>8</v>
      </c>
      <c r="AI62" s="105">
        <f>IF(OR($A62&gt;PlanStores,AF61&gt;=INDEX(Target,1)),-1000000000,INDEX(Target,1)*$A62-AF61*PlanStores)</f>
        <v>-1000000000</v>
      </c>
      <c r="AJ62" s="105">
        <f>IF(OR($A62&gt;PlanStores,AG61&gt;=INDEX(Target,2)),-1000000000,INDEX(Target,2)*$A62-AG61*PlanStores)</f>
        <v>-1000000000</v>
      </c>
      <c r="AK62" s="105">
        <f>IF(OR($A62&gt;PlanStores,AH61&gt;=INDEX(Target,3)),-1000000000,INDEX(Target,3)*$A62-AH61*PlanStores)</f>
        <v>-1000000000</v>
      </c>
      <c r="AL62" s="82" t="str">
        <f>IF($C62="","",MATCH($C62,TierCodes,0))</f>
        <v/>
      </c>
      <c r="AM62" s="82" t="str">
        <f>IF($C62="","",IF(OR(StreetChoice="Typical street for its size",INDEX(Cand,AL62)=0),"",MOD($D62-1,INDEX(Cand,AL62))+1))</f>
        <v/>
      </c>
      <c r="AN62" s="82" t="str">
        <f>IF(AM62="","",MATCH($C62&amp;"|"&amp;AM62,Melbourne!$AA$58:$AA$135,0))</f>
        <v/>
      </c>
      <c r="AO62" s="76" t="str">
        <f>IF($C62="","",Ramp1*$N62*ContribMargin-$P62-INDEX(LicPlan,AL62))</f>
        <v/>
      </c>
      <c r="AP62" s="76" t="str">
        <f>IF($C62="","",Ramp2*$N62*ContribMargin-$P62-INDEX(LicPlan,AL62))</f>
        <v/>
      </c>
      <c r="AR62" s="61" t="str">
        <f>IF($C62="","",MAX(Scale!$C$7,($D62+Scale!$C$8*($A62-$D62))^LOG(Scale!$C$6,2)))</f>
        <v/>
      </c>
      <c r="AS62" s="61" t="str">
        <f>IF($C62="","",1-IF(IF(Deal="Commit to the full plan",PlanStores,$A62)&gt;=PBAt4,Scale!$C$12,IF(IF(Deal="Commit to the full plan",PlanStores,$A62)&gt;=PBAt3,Scale!$C$11,IF(IF(Deal="Commit to the full plan",PlanStores,$A62)&gt;=PBAt2,Scale!$C$10,IF(IF(Deal="Commit to the full plan",PlanStores,$A62)&gt;=PBAt1,Scale!$C$9,0)))))</f>
        <v/>
      </c>
      <c r="AT62" s="61" t="str">
        <f>IF($C62="","",MAX(Scale!$D$7,($D62+Scale!$D$8*($A62-$D62))^LOG(Scale!$D$6,2)))</f>
        <v/>
      </c>
      <c r="AU62" s="61" t="str">
        <f>IF($C62="","",1-IF(IF(Deal="Commit to the full plan",PlanStores,$A62)&gt;=PBAt4,Scale!$D$12,IF(IF(Deal="Commit to the full plan",PlanStores,$A62)&gt;=PBAt3,Scale!$D$11,IF(IF(Deal="Commit to the full plan",PlanStores,$A62)&gt;=PBAt2,Scale!$D$10,IF(IF(Deal="Commit to the full plan",PlanStores,$A62)&gt;=PBAt1,Scale!$D$9,0)))))</f>
        <v/>
      </c>
      <c r="AV62" s="61" t="str">
        <f>IF($C62="","",MAX(Scale!$E$7,($D62+Scale!$E$8*($A62-$D62))^LOG(Scale!$E$6,2)))</f>
        <v/>
      </c>
      <c r="AW62" s="61" t="str">
        <f>IF($C62="","",1-IF(IF(Deal="Commit to the full plan",PlanStores,$A62)&gt;=PBAt4,Scale!$E$12,IF(IF(Deal="Commit to the full plan",PlanStores,$A62)&gt;=PBAt3,Scale!$E$11,IF(IF(Deal="Commit to the full plan",PlanStores,$A62)&gt;=PBAt2,Scale!$E$10,IF(IF(Deal="Commit to the full plan",PlanStores,$A62)&gt;=PBAt1,Scale!$E$9,0)))))</f>
        <v/>
      </c>
    </row>
    <row r="63">
      <c r="A63" s="110" t="n">
        <v>42</v>
      </c>
      <c r="B63" s="111" t="str">
        <f>IF($A63&gt;PlanStores,"",1+COUNTIF(CumOpenings,"&lt;"&amp;$A63))</f>
        <v/>
      </c>
      <c r="C63" s="14" t="str">
        <f>IF($A63&gt;PlanStores,"",IF(AND($A63=1,FlagshipFirst="Yes",INDEX(Target,1)&gt;0),"SPLUS",IF(AND(AI63&gt;=AJ63,AI63&gt;=AK63),"SPLUS",IF(AJ63&gt;=AK63,"S","D"))))</f>
        <v/>
      </c>
      <c r="D63" s="111" t="str">
        <f>IF($C63="","",IF($C63="SPLUS",AF63,IF($C63="S",AG63,AH63)))</f>
        <v/>
      </c>
      <c r="E63" s="112" t="str">
        <f>IF($C63="","",$D63+LearnShared*($A63-$D63))</f>
        <v/>
      </c>
      <c r="F63" s="85" t="str">
        <f>IF($C63="","",MAX(LearnFloor,$E63^LOG(LearnRate,2)))</f>
        <v/>
      </c>
      <c r="G63" s="85" t="str">
        <f>IF($C63="","",1-IF(IF(Deal="Commit to the full plan",PlanStores,$A63)&gt;=PBAt4,PBDisc4,IF(IF(Deal="Commit to the full plan",PlanStores,$A63)&gt;=PBAt3,PBDisc3,IF(IF(Deal="Commit to the full plan",PlanStores,$A63)&gt;=PBAt2,PBDisc2,IF(IF(Deal="Commit to the full plan",PlanStores,$A63)&gt;=PBAt1,PBDisc1,0)))))</f>
        <v/>
      </c>
      <c r="H63" s="39" t="str">
        <f>IF($C63="","",INDEX(BaseL,AL63)*$F63+INDEX(BaseV,AL63)*$G63+INDEX(BaseN,AL63))</f>
        <v/>
      </c>
      <c r="I63" s="39" t="str">
        <f>IF($C63="","",$H63*(1+BuildInflation)^($B63-1))</f>
        <v/>
      </c>
      <c r="J63" s="40" t="str">
        <f>IF($C63="","",IF(AN63="",IF(INDEX(Cand,AL63)=0,"No street of this size","Typical "&amp;LOWER(INDEX(TierNames,AL63))&amp;" street"),INDEX(Melbourne!$B$58:$B$135,AN63)))</f>
        <v/>
      </c>
      <c r="K63" s="40" t="str">
        <f>IF(OR($C63="",AN63=""),"",INDEX(Melbourne!$C$58:$C$135,AN63))</f>
        <v/>
      </c>
      <c r="L63" s="46" t="str">
        <f>IF($C63="","",IF(AN63="",INDEX(TypicalF,AL63),INDEX(Melbourne!$E$58:$E$135,AN63)))</f>
        <v/>
      </c>
      <c r="M63" s="86" t="str">
        <f>IF($C63="","",IF(AN63="",INDEX(TypicalQ,AL63),INDEX(Melbourne!$N$58:$N$135,AN63)))</f>
        <v/>
      </c>
      <c r="N63" s="39" t="str">
        <f>IF($C63="","",MIN($L63*Capture*$M63*Conversion*Ticket,INDEX(CapacityPsf,AL63)*INDEX(Area,AL63)))</f>
        <v/>
      </c>
      <c r="O63" s="39" t="str">
        <f>IF($C63="","",INDEX(Area,AL63)*RentPsf*($L63/Fref)^RentElasticity)</f>
        <v/>
      </c>
      <c r="P63" s="39" t="str">
        <f>IF($C63="","",$O63+INDEX(RunOther,AL63))</f>
        <v/>
      </c>
      <c r="Q63" s="95" t="str">
        <f>IF($C63="","",$N63*ContribMargin-$P63-INDEX(LicPlan,AL63))</f>
        <v/>
      </c>
      <c r="R63" s="113" t="str">
        <f>IF($C63="","",IF(AND(AO63&gt;=$H63,AO63&gt;0),$H63/AO63,IF(AND(AO63+AP63&gt;=$H63,AP63&gt;0),1+($H63-AO63)/AP63,IF($Q63&gt;0,2+($H63-AO63-AP63)/$Q63,"Never"))))</f>
        <v/>
      </c>
      <c r="S63" s="39" t="str">
        <f>IF($C63="","",StockWeeks/52*$N63*(1-GrossMargin))</f>
        <v/>
      </c>
      <c r="U63" s="95">
        <f>IF(OR($C63="",U$21&lt;$B63),0,IF(U$21=$B63,OpenYearShare,1)*($N63*ContribMargin*IF(U$21=$B63,Ramp1,IF(U$21=$B63+1,Ramp2,1))-$P63-INDEX(LicByYear,AL63,U$21)))</f>
        <v>0</v>
      </c>
      <c r="V63" s="95">
        <f>IF(OR($C63="",V$21&lt;$B63),0,IF(V$21=$B63,OpenYearShare,1)*($N63*ContribMargin*IF(V$21=$B63,Ramp1,IF(V$21=$B63+1,Ramp2,1))-$P63-INDEX(LicByYear,AL63,V$21)))</f>
        <v>0</v>
      </c>
      <c r="W63" s="95">
        <f>IF(OR($C63="",W$21&lt;$B63),0,IF(W$21=$B63,OpenYearShare,1)*($N63*ContribMargin*IF(W$21=$B63,Ramp1,IF(W$21=$B63+1,Ramp2,1))-$P63-INDEX(LicByYear,AL63,W$21)))</f>
        <v>0</v>
      </c>
      <c r="X63" s="95">
        <f>IF(OR($C63="",X$21&lt;$B63),0,IF(X$21=$B63,OpenYearShare,1)*($N63*ContribMargin*IF(X$21=$B63,Ramp1,IF(X$21=$B63+1,Ramp2,1))-$P63-INDEX(LicByYear,AL63,X$21)))</f>
        <v>0</v>
      </c>
      <c r="Y63" s="95">
        <f>IF(OR($C63="",Y$21&lt;$B63),0,IF(Y$21=$B63,OpenYearShare,1)*($N63*ContribMargin*IF(Y$21=$B63,Ramp1,IF(Y$21=$B63+1,Ramp2,1))-$P63-INDEX(LicByYear,AL63,Y$21)))</f>
        <v>0</v>
      </c>
      <c r="Z63" s="95">
        <f>IF(OR($C63="",Z$21&lt;$B63),0,IF(Z$21=$B63,OpenYearShare,1)*($N63*ContribMargin*IF(Z$21=$B63,Ramp1,IF(Z$21=$B63+1,Ramp2,1))-$P63-INDEX(LicByYear,AL63,Z$21)))</f>
        <v>0</v>
      </c>
      <c r="AA63" s="95">
        <f>IF(OR($C63="",AA$21&lt;$B63),0,IF(AA$21=$B63,OpenYearShare,1)*($N63*ContribMargin*IF(AA$21=$B63,Ramp1,IF(AA$21=$B63+1,Ramp2,1))-$P63-INDEX(LicByYear,AL63,AA$21)))</f>
        <v>0</v>
      </c>
      <c r="AB63" s="95">
        <f>IF(OR($C63="",AB$21&lt;$B63),0,IF(AB$21=$B63,OpenYearShare,1)*($N63*ContribMargin*IF(AB$21=$B63,Ramp1,IF(AB$21=$B63+1,Ramp2,1))-$P63-INDEX(LicByYear,AL63,AB$21)))</f>
        <v>0</v>
      </c>
      <c r="AC63" s="95">
        <f>IF(OR($C63="",AC$21&lt;$B63),0,IF(AC$21=$B63,OpenYearShare,1)*($N63*ContribMargin*IF(AC$21=$B63,Ramp1,IF(AC$21=$B63+1,Ramp2,1))-$P63-INDEX(LicByYear,AL63,AC$21)))</f>
        <v>0</v>
      </c>
      <c r="AD63" s="95">
        <f>IF(OR($C63="",AD$21&lt;$B63),0,IF(AD$21=$B63,OpenYearShare,1)*($N63*ContribMargin*IF(AD$21=$B63,Ramp1,IF(AD$21=$B63+1,Ramp2,1))-$P63-INDEX(LicByYear,AL63,AD$21)))</f>
        <v>0</v>
      </c>
      <c r="AF63" s="82">
        <f>AF62+IF($C63="SPLUS",1,0)</f>
        <v>7</v>
      </c>
      <c r="AG63" s="82">
        <f>AG62+IF($C63="S",1,0)</f>
        <v>15</v>
      </c>
      <c r="AH63" s="82">
        <f>AH62+IF($C63="D",1,0)</f>
        <v>8</v>
      </c>
      <c r="AI63" s="105">
        <f>IF(OR($A63&gt;PlanStores,AF62&gt;=INDEX(Target,1)),-1000000000,INDEX(Target,1)*$A63-AF62*PlanStores)</f>
        <v>-1000000000</v>
      </c>
      <c r="AJ63" s="105">
        <f>IF(OR($A63&gt;PlanStores,AG62&gt;=INDEX(Target,2)),-1000000000,INDEX(Target,2)*$A63-AG62*PlanStores)</f>
        <v>-1000000000</v>
      </c>
      <c r="AK63" s="105">
        <f>IF(OR($A63&gt;PlanStores,AH62&gt;=INDEX(Target,3)),-1000000000,INDEX(Target,3)*$A63-AH62*PlanStores)</f>
        <v>-1000000000</v>
      </c>
      <c r="AL63" s="82" t="str">
        <f>IF($C63="","",MATCH($C63,TierCodes,0))</f>
        <v/>
      </c>
      <c r="AM63" s="82" t="str">
        <f>IF($C63="","",IF(OR(StreetChoice="Typical street for its size",INDEX(Cand,AL63)=0),"",MOD($D63-1,INDEX(Cand,AL63))+1))</f>
        <v/>
      </c>
      <c r="AN63" s="82" t="str">
        <f>IF(AM63="","",MATCH($C63&amp;"|"&amp;AM63,Melbourne!$AA$58:$AA$135,0))</f>
        <v/>
      </c>
      <c r="AO63" s="76" t="str">
        <f>IF($C63="","",Ramp1*$N63*ContribMargin-$P63-INDEX(LicPlan,AL63))</f>
        <v/>
      </c>
      <c r="AP63" s="76" t="str">
        <f>IF($C63="","",Ramp2*$N63*ContribMargin-$P63-INDEX(LicPlan,AL63))</f>
        <v/>
      </c>
      <c r="AR63" s="61" t="str">
        <f>IF($C63="","",MAX(Scale!$C$7,($D63+Scale!$C$8*($A63-$D63))^LOG(Scale!$C$6,2)))</f>
        <v/>
      </c>
      <c r="AS63" s="61" t="str">
        <f>IF($C63="","",1-IF(IF(Deal="Commit to the full plan",PlanStores,$A63)&gt;=PBAt4,Scale!$C$12,IF(IF(Deal="Commit to the full plan",PlanStores,$A63)&gt;=PBAt3,Scale!$C$11,IF(IF(Deal="Commit to the full plan",PlanStores,$A63)&gt;=PBAt2,Scale!$C$10,IF(IF(Deal="Commit to the full plan",PlanStores,$A63)&gt;=PBAt1,Scale!$C$9,0)))))</f>
        <v/>
      </c>
      <c r="AT63" s="61" t="str">
        <f>IF($C63="","",MAX(Scale!$D$7,($D63+Scale!$D$8*($A63-$D63))^LOG(Scale!$D$6,2)))</f>
        <v/>
      </c>
      <c r="AU63" s="61" t="str">
        <f>IF($C63="","",1-IF(IF(Deal="Commit to the full plan",PlanStores,$A63)&gt;=PBAt4,Scale!$D$12,IF(IF(Deal="Commit to the full plan",PlanStores,$A63)&gt;=PBAt3,Scale!$D$11,IF(IF(Deal="Commit to the full plan",PlanStores,$A63)&gt;=PBAt2,Scale!$D$10,IF(IF(Deal="Commit to the full plan",PlanStores,$A63)&gt;=PBAt1,Scale!$D$9,0)))))</f>
        <v/>
      </c>
      <c r="AV63" s="61" t="str">
        <f>IF($C63="","",MAX(Scale!$E$7,($D63+Scale!$E$8*($A63-$D63))^LOG(Scale!$E$6,2)))</f>
        <v/>
      </c>
      <c r="AW63" s="61" t="str">
        <f>IF($C63="","",1-IF(IF(Deal="Commit to the full plan",PlanStores,$A63)&gt;=PBAt4,Scale!$E$12,IF(IF(Deal="Commit to the full plan",PlanStores,$A63)&gt;=PBAt3,Scale!$E$11,IF(IF(Deal="Commit to the full plan",PlanStores,$A63)&gt;=PBAt2,Scale!$E$10,IF(IF(Deal="Commit to the full plan",PlanStores,$A63)&gt;=PBAt1,Scale!$E$9,0)))))</f>
        <v/>
      </c>
    </row>
    <row r="64">
      <c r="A64" s="110" t="n">
        <v>43</v>
      </c>
      <c r="B64" s="111" t="str">
        <f>IF($A64&gt;PlanStores,"",1+COUNTIF(CumOpenings,"&lt;"&amp;$A64))</f>
        <v/>
      </c>
      <c r="C64" s="14" t="str">
        <f>IF($A64&gt;PlanStores,"",IF(AND($A64=1,FlagshipFirst="Yes",INDEX(Target,1)&gt;0),"SPLUS",IF(AND(AI64&gt;=AJ64,AI64&gt;=AK64),"SPLUS",IF(AJ64&gt;=AK64,"S","D"))))</f>
        <v/>
      </c>
      <c r="D64" s="111" t="str">
        <f>IF($C64="","",IF($C64="SPLUS",AF64,IF($C64="S",AG64,AH64)))</f>
        <v/>
      </c>
      <c r="E64" s="112" t="str">
        <f>IF($C64="","",$D64+LearnShared*($A64-$D64))</f>
        <v/>
      </c>
      <c r="F64" s="85" t="str">
        <f>IF($C64="","",MAX(LearnFloor,$E64^LOG(LearnRate,2)))</f>
        <v/>
      </c>
      <c r="G64" s="85" t="str">
        <f>IF($C64="","",1-IF(IF(Deal="Commit to the full plan",PlanStores,$A64)&gt;=PBAt4,PBDisc4,IF(IF(Deal="Commit to the full plan",PlanStores,$A64)&gt;=PBAt3,PBDisc3,IF(IF(Deal="Commit to the full plan",PlanStores,$A64)&gt;=PBAt2,PBDisc2,IF(IF(Deal="Commit to the full plan",PlanStores,$A64)&gt;=PBAt1,PBDisc1,0)))))</f>
        <v/>
      </c>
      <c r="H64" s="39" t="str">
        <f>IF($C64="","",INDEX(BaseL,AL64)*$F64+INDEX(BaseV,AL64)*$G64+INDEX(BaseN,AL64))</f>
        <v/>
      </c>
      <c r="I64" s="39" t="str">
        <f>IF($C64="","",$H64*(1+BuildInflation)^($B64-1))</f>
        <v/>
      </c>
      <c r="J64" s="40" t="str">
        <f>IF($C64="","",IF(AN64="",IF(INDEX(Cand,AL64)=0,"No street of this size","Typical "&amp;LOWER(INDEX(TierNames,AL64))&amp;" street"),INDEX(Melbourne!$B$58:$B$135,AN64)))</f>
        <v/>
      </c>
      <c r="K64" s="40" t="str">
        <f>IF(OR($C64="",AN64=""),"",INDEX(Melbourne!$C$58:$C$135,AN64))</f>
        <v/>
      </c>
      <c r="L64" s="46" t="str">
        <f>IF($C64="","",IF(AN64="",INDEX(TypicalF,AL64),INDEX(Melbourne!$E$58:$E$135,AN64)))</f>
        <v/>
      </c>
      <c r="M64" s="86" t="str">
        <f>IF($C64="","",IF(AN64="",INDEX(TypicalQ,AL64),INDEX(Melbourne!$N$58:$N$135,AN64)))</f>
        <v/>
      </c>
      <c r="N64" s="39" t="str">
        <f>IF($C64="","",MIN($L64*Capture*$M64*Conversion*Ticket,INDEX(CapacityPsf,AL64)*INDEX(Area,AL64)))</f>
        <v/>
      </c>
      <c r="O64" s="39" t="str">
        <f>IF($C64="","",INDEX(Area,AL64)*RentPsf*($L64/Fref)^RentElasticity)</f>
        <v/>
      </c>
      <c r="P64" s="39" t="str">
        <f>IF($C64="","",$O64+INDEX(RunOther,AL64))</f>
        <v/>
      </c>
      <c r="Q64" s="95" t="str">
        <f>IF($C64="","",$N64*ContribMargin-$P64-INDEX(LicPlan,AL64))</f>
        <v/>
      </c>
      <c r="R64" s="113" t="str">
        <f>IF($C64="","",IF(AND(AO64&gt;=$H64,AO64&gt;0),$H64/AO64,IF(AND(AO64+AP64&gt;=$H64,AP64&gt;0),1+($H64-AO64)/AP64,IF($Q64&gt;0,2+($H64-AO64-AP64)/$Q64,"Never"))))</f>
        <v/>
      </c>
      <c r="S64" s="39" t="str">
        <f>IF($C64="","",StockWeeks/52*$N64*(1-GrossMargin))</f>
        <v/>
      </c>
      <c r="U64" s="95">
        <f>IF(OR($C64="",U$21&lt;$B64),0,IF(U$21=$B64,OpenYearShare,1)*($N64*ContribMargin*IF(U$21=$B64,Ramp1,IF(U$21=$B64+1,Ramp2,1))-$P64-INDEX(LicByYear,AL64,U$21)))</f>
        <v>0</v>
      </c>
      <c r="V64" s="95">
        <f>IF(OR($C64="",V$21&lt;$B64),0,IF(V$21=$B64,OpenYearShare,1)*($N64*ContribMargin*IF(V$21=$B64,Ramp1,IF(V$21=$B64+1,Ramp2,1))-$P64-INDEX(LicByYear,AL64,V$21)))</f>
        <v>0</v>
      </c>
      <c r="W64" s="95">
        <f>IF(OR($C64="",W$21&lt;$B64),0,IF(W$21=$B64,OpenYearShare,1)*($N64*ContribMargin*IF(W$21=$B64,Ramp1,IF(W$21=$B64+1,Ramp2,1))-$P64-INDEX(LicByYear,AL64,W$21)))</f>
        <v>0</v>
      </c>
      <c r="X64" s="95">
        <f>IF(OR($C64="",X$21&lt;$B64),0,IF(X$21=$B64,OpenYearShare,1)*($N64*ContribMargin*IF(X$21=$B64,Ramp1,IF(X$21=$B64+1,Ramp2,1))-$P64-INDEX(LicByYear,AL64,X$21)))</f>
        <v>0</v>
      </c>
      <c r="Y64" s="95">
        <f>IF(OR($C64="",Y$21&lt;$B64),0,IF(Y$21=$B64,OpenYearShare,1)*($N64*ContribMargin*IF(Y$21=$B64,Ramp1,IF(Y$21=$B64+1,Ramp2,1))-$P64-INDEX(LicByYear,AL64,Y$21)))</f>
        <v>0</v>
      </c>
      <c r="Z64" s="95">
        <f>IF(OR($C64="",Z$21&lt;$B64),0,IF(Z$21=$B64,OpenYearShare,1)*($N64*ContribMargin*IF(Z$21=$B64,Ramp1,IF(Z$21=$B64+1,Ramp2,1))-$P64-INDEX(LicByYear,AL64,Z$21)))</f>
        <v>0</v>
      </c>
      <c r="AA64" s="95">
        <f>IF(OR($C64="",AA$21&lt;$B64),0,IF(AA$21=$B64,OpenYearShare,1)*($N64*ContribMargin*IF(AA$21=$B64,Ramp1,IF(AA$21=$B64+1,Ramp2,1))-$P64-INDEX(LicByYear,AL64,AA$21)))</f>
        <v>0</v>
      </c>
      <c r="AB64" s="95">
        <f>IF(OR($C64="",AB$21&lt;$B64),0,IF(AB$21=$B64,OpenYearShare,1)*($N64*ContribMargin*IF(AB$21=$B64,Ramp1,IF(AB$21=$B64+1,Ramp2,1))-$P64-INDEX(LicByYear,AL64,AB$21)))</f>
        <v>0</v>
      </c>
      <c r="AC64" s="95">
        <f>IF(OR($C64="",AC$21&lt;$B64),0,IF(AC$21=$B64,OpenYearShare,1)*($N64*ContribMargin*IF(AC$21=$B64,Ramp1,IF(AC$21=$B64+1,Ramp2,1))-$P64-INDEX(LicByYear,AL64,AC$21)))</f>
        <v>0</v>
      </c>
      <c r="AD64" s="95">
        <f>IF(OR($C64="",AD$21&lt;$B64),0,IF(AD$21=$B64,OpenYearShare,1)*($N64*ContribMargin*IF(AD$21=$B64,Ramp1,IF(AD$21=$B64+1,Ramp2,1))-$P64-INDEX(LicByYear,AL64,AD$21)))</f>
        <v>0</v>
      </c>
      <c r="AF64" s="82">
        <f>AF63+IF($C64="SPLUS",1,0)</f>
        <v>7</v>
      </c>
      <c r="AG64" s="82">
        <f>AG63+IF($C64="S",1,0)</f>
        <v>15</v>
      </c>
      <c r="AH64" s="82">
        <f>AH63+IF($C64="D",1,0)</f>
        <v>8</v>
      </c>
      <c r="AI64" s="105">
        <f>IF(OR($A64&gt;PlanStores,AF63&gt;=INDEX(Target,1)),-1000000000,INDEX(Target,1)*$A64-AF63*PlanStores)</f>
        <v>-1000000000</v>
      </c>
      <c r="AJ64" s="105">
        <f>IF(OR($A64&gt;PlanStores,AG63&gt;=INDEX(Target,2)),-1000000000,INDEX(Target,2)*$A64-AG63*PlanStores)</f>
        <v>-1000000000</v>
      </c>
      <c r="AK64" s="105">
        <f>IF(OR($A64&gt;PlanStores,AH63&gt;=INDEX(Target,3)),-1000000000,INDEX(Target,3)*$A64-AH63*PlanStores)</f>
        <v>-1000000000</v>
      </c>
      <c r="AL64" s="82" t="str">
        <f>IF($C64="","",MATCH($C64,TierCodes,0))</f>
        <v/>
      </c>
      <c r="AM64" s="82" t="str">
        <f>IF($C64="","",IF(OR(StreetChoice="Typical street for its size",INDEX(Cand,AL64)=0),"",MOD($D64-1,INDEX(Cand,AL64))+1))</f>
        <v/>
      </c>
      <c r="AN64" s="82" t="str">
        <f>IF(AM64="","",MATCH($C64&amp;"|"&amp;AM64,Melbourne!$AA$58:$AA$135,0))</f>
        <v/>
      </c>
      <c r="AO64" s="76" t="str">
        <f>IF($C64="","",Ramp1*$N64*ContribMargin-$P64-INDEX(LicPlan,AL64))</f>
        <v/>
      </c>
      <c r="AP64" s="76" t="str">
        <f>IF($C64="","",Ramp2*$N64*ContribMargin-$P64-INDEX(LicPlan,AL64))</f>
        <v/>
      </c>
      <c r="AR64" s="61" t="str">
        <f>IF($C64="","",MAX(Scale!$C$7,($D64+Scale!$C$8*($A64-$D64))^LOG(Scale!$C$6,2)))</f>
        <v/>
      </c>
      <c r="AS64" s="61" t="str">
        <f>IF($C64="","",1-IF(IF(Deal="Commit to the full plan",PlanStores,$A64)&gt;=PBAt4,Scale!$C$12,IF(IF(Deal="Commit to the full plan",PlanStores,$A64)&gt;=PBAt3,Scale!$C$11,IF(IF(Deal="Commit to the full plan",PlanStores,$A64)&gt;=PBAt2,Scale!$C$10,IF(IF(Deal="Commit to the full plan",PlanStores,$A64)&gt;=PBAt1,Scale!$C$9,0)))))</f>
        <v/>
      </c>
      <c r="AT64" s="61" t="str">
        <f>IF($C64="","",MAX(Scale!$D$7,($D64+Scale!$D$8*($A64-$D64))^LOG(Scale!$D$6,2)))</f>
        <v/>
      </c>
      <c r="AU64" s="61" t="str">
        <f>IF($C64="","",1-IF(IF(Deal="Commit to the full plan",PlanStores,$A64)&gt;=PBAt4,Scale!$D$12,IF(IF(Deal="Commit to the full plan",PlanStores,$A64)&gt;=PBAt3,Scale!$D$11,IF(IF(Deal="Commit to the full plan",PlanStores,$A64)&gt;=PBAt2,Scale!$D$10,IF(IF(Deal="Commit to the full plan",PlanStores,$A64)&gt;=PBAt1,Scale!$D$9,0)))))</f>
        <v/>
      </c>
      <c r="AV64" s="61" t="str">
        <f>IF($C64="","",MAX(Scale!$E$7,($D64+Scale!$E$8*($A64-$D64))^LOG(Scale!$E$6,2)))</f>
        <v/>
      </c>
      <c r="AW64" s="61" t="str">
        <f>IF($C64="","",1-IF(IF(Deal="Commit to the full plan",PlanStores,$A64)&gt;=PBAt4,Scale!$E$12,IF(IF(Deal="Commit to the full plan",PlanStores,$A64)&gt;=PBAt3,Scale!$E$11,IF(IF(Deal="Commit to the full plan",PlanStores,$A64)&gt;=PBAt2,Scale!$E$10,IF(IF(Deal="Commit to the full plan",PlanStores,$A64)&gt;=PBAt1,Scale!$E$9,0)))))</f>
        <v/>
      </c>
    </row>
    <row r="65">
      <c r="A65" s="110" t="n">
        <v>44</v>
      </c>
      <c r="B65" s="111" t="str">
        <f>IF($A65&gt;PlanStores,"",1+COUNTIF(CumOpenings,"&lt;"&amp;$A65))</f>
        <v/>
      </c>
      <c r="C65" s="14" t="str">
        <f>IF($A65&gt;PlanStores,"",IF(AND($A65=1,FlagshipFirst="Yes",INDEX(Target,1)&gt;0),"SPLUS",IF(AND(AI65&gt;=AJ65,AI65&gt;=AK65),"SPLUS",IF(AJ65&gt;=AK65,"S","D"))))</f>
        <v/>
      </c>
      <c r="D65" s="111" t="str">
        <f>IF($C65="","",IF($C65="SPLUS",AF65,IF($C65="S",AG65,AH65)))</f>
        <v/>
      </c>
      <c r="E65" s="112" t="str">
        <f>IF($C65="","",$D65+LearnShared*($A65-$D65))</f>
        <v/>
      </c>
      <c r="F65" s="85" t="str">
        <f>IF($C65="","",MAX(LearnFloor,$E65^LOG(LearnRate,2)))</f>
        <v/>
      </c>
      <c r="G65" s="85" t="str">
        <f>IF($C65="","",1-IF(IF(Deal="Commit to the full plan",PlanStores,$A65)&gt;=PBAt4,PBDisc4,IF(IF(Deal="Commit to the full plan",PlanStores,$A65)&gt;=PBAt3,PBDisc3,IF(IF(Deal="Commit to the full plan",PlanStores,$A65)&gt;=PBAt2,PBDisc2,IF(IF(Deal="Commit to the full plan",PlanStores,$A65)&gt;=PBAt1,PBDisc1,0)))))</f>
        <v/>
      </c>
      <c r="H65" s="39" t="str">
        <f>IF($C65="","",INDEX(BaseL,AL65)*$F65+INDEX(BaseV,AL65)*$G65+INDEX(BaseN,AL65))</f>
        <v/>
      </c>
      <c r="I65" s="39" t="str">
        <f>IF($C65="","",$H65*(1+BuildInflation)^($B65-1))</f>
        <v/>
      </c>
      <c r="J65" s="40" t="str">
        <f>IF($C65="","",IF(AN65="",IF(INDEX(Cand,AL65)=0,"No street of this size","Typical "&amp;LOWER(INDEX(TierNames,AL65))&amp;" street"),INDEX(Melbourne!$B$58:$B$135,AN65)))</f>
        <v/>
      </c>
      <c r="K65" s="40" t="str">
        <f>IF(OR($C65="",AN65=""),"",INDEX(Melbourne!$C$58:$C$135,AN65))</f>
        <v/>
      </c>
      <c r="L65" s="46" t="str">
        <f>IF($C65="","",IF(AN65="",INDEX(TypicalF,AL65),INDEX(Melbourne!$E$58:$E$135,AN65)))</f>
        <v/>
      </c>
      <c r="M65" s="86" t="str">
        <f>IF($C65="","",IF(AN65="",INDEX(TypicalQ,AL65),INDEX(Melbourne!$N$58:$N$135,AN65)))</f>
        <v/>
      </c>
      <c r="N65" s="39" t="str">
        <f>IF($C65="","",MIN($L65*Capture*$M65*Conversion*Ticket,INDEX(CapacityPsf,AL65)*INDEX(Area,AL65)))</f>
        <v/>
      </c>
      <c r="O65" s="39" t="str">
        <f>IF($C65="","",INDEX(Area,AL65)*RentPsf*($L65/Fref)^RentElasticity)</f>
        <v/>
      </c>
      <c r="P65" s="39" t="str">
        <f>IF($C65="","",$O65+INDEX(RunOther,AL65))</f>
        <v/>
      </c>
      <c r="Q65" s="95" t="str">
        <f>IF($C65="","",$N65*ContribMargin-$P65-INDEX(LicPlan,AL65))</f>
        <v/>
      </c>
      <c r="R65" s="113" t="str">
        <f>IF($C65="","",IF(AND(AO65&gt;=$H65,AO65&gt;0),$H65/AO65,IF(AND(AO65+AP65&gt;=$H65,AP65&gt;0),1+($H65-AO65)/AP65,IF($Q65&gt;0,2+($H65-AO65-AP65)/$Q65,"Never"))))</f>
        <v/>
      </c>
      <c r="S65" s="39" t="str">
        <f>IF($C65="","",StockWeeks/52*$N65*(1-GrossMargin))</f>
        <v/>
      </c>
      <c r="U65" s="95">
        <f>IF(OR($C65="",U$21&lt;$B65),0,IF(U$21=$B65,OpenYearShare,1)*($N65*ContribMargin*IF(U$21=$B65,Ramp1,IF(U$21=$B65+1,Ramp2,1))-$P65-INDEX(LicByYear,AL65,U$21)))</f>
        <v>0</v>
      </c>
      <c r="V65" s="95">
        <f>IF(OR($C65="",V$21&lt;$B65),0,IF(V$21=$B65,OpenYearShare,1)*($N65*ContribMargin*IF(V$21=$B65,Ramp1,IF(V$21=$B65+1,Ramp2,1))-$P65-INDEX(LicByYear,AL65,V$21)))</f>
        <v>0</v>
      </c>
      <c r="W65" s="95">
        <f>IF(OR($C65="",W$21&lt;$B65),0,IF(W$21=$B65,OpenYearShare,1)*($N65*ContribMargin*IF(W$21=$B65,Ramp1,IF(W$21=$B65+1,Ramp2,1))-$P65-INDEX(LicByYear,AL65,W$21)))</f>
        <v>0</v>
      </c>
      <c r="X65" s="95">
        <f>IF(OR($C65="",X$21&lt;$B65),0,IF(X$21=$B65,OpenYearShare,1)*($N65*ContribMargin*IF(X$21=$B65,Ramp1,IF(X$21=$B65+1,Ramp2,1))-$P65-INDEX(LicByYear,AL65,X$21)))</f>
        <v>0</v>
      </c>
      <c r="Y65" s="95">
        <f>IF(OR($C65="",Y$21&lt;$B65),0,IF(Y$21=$B65,OpenYearShare,1)*($N65*ContribMargin*IF(Y$21=$B65,Ramp1,IF(Y$21=$B65+1,Ramp2,1))-$P65-INDEX(LicByYear,AL65,Y$21)))</f>
        <v>0</v>
      </c>
      <c r="Z65" s="95">
        <f>IF(OR($C65="",Z$21&lt;$B65),0,IF(Z$21=$B65,OpenYearShare,1)*($N65*ContribMargin*IF(Z$21=$B65,Ramp1,IF(Z$21=$B65+1,Ramp2,1))-$P65-INDEX(LicByYear,AL65,Z$21)))</f>
        <v>0</v>
      </c>
      <c r="AA65" s="95">
        <f>IF(OR($C65="",AA$21&lt;$B65),0,IF(AA$21=$B65,OpenYearShare,1)*($N65*ContribMargin*IF(AA$21=$B65,Ramp1,IF(AA$21=$B65+1,Ramp2,1))-$P65-INDEX(LicByYear,AL65,AA$21)))</f>
        <v>0</v>
      </c>
      <c r="AB65" s="95">
        <f>IF(OR($C65="",AB$21&lt;$B65),0,IF(AB$21=$B65,OpenYearShare,1)*($N65*ContribMargin*IF(AB$21=$B65,Ramp1,IF(AB$21=$B65+1,Ramp2,1))-$P65-INDEX(LicByYear,AL65,AB$21)))</f>
        <v>0</v>
      </c>
      <c r="AC65" s="95">
        <f>IF(OR($C65="",AC$21&lt;$B65),0,IF(AC$21=$B65,OpenYearShare,1)*($N65*ContribMargin*IF(AC$21=$B65,Ramp1,IF(AC$21=$B65+1,Ramp2,1))-$P65-INDEX(LicByYear,AL65,AC$21)))</f>
        <v>0</v>
      </c>
      <c r="AD65" s="95">
        <f>IF(OR($C65="",AD$21&lt;$B65),0,IF(AD$21=$B65,OpenYearShare,1)*($N65*ContribMargin*IF(AD$21=$B65,Ramp1,IF(AD$21=$B65+1,Ramp2,1))-$P65-INDEX(LicByYear,AL65,AD$21)))</f>
        <v>0</v>
      </c>
      <c r="AF65" s="82">
        <f>AF64+IF($C65="SPLUS",1,0)</f>
        <v>7</v>
      </c>
      <c r="AG65" s="82">
        <f>AG64+IF($C65="S",1,0)</f>
        <v>15</v>
      </c>
      <c r="AH65" s="82">
        <f>AH64+IF($C65="D",1,0)</f>
        <v>8</v>
      </c>
      <c r="AI65" s="105">
        <f>IF(OR($A65&gt;PlanStores,AF64&gt;=INDEX(Target,1)),-1000000000,INDEX(Target,1)*$A65-AF64*PlanStores)</f>
        <v>-1000000000</v>
      </c>
      <c r="AJ65" s="105">
        <f>IF(OR($A65&gt;PlanStores,AG64&gt;=INDEX(Target,2)),-1000000000,INDEX(Target,2)*$A65-AG64*PlanStores)</f>
        <v>-1000000000</v>
      </c>
      <c r="AK65" s="105">
        <f>IF(OR($A65&gt;PlanStores,AH64&gt;=INDEX(Target,3)),-1000000000,INDEX(Target,3)*$A65-AH64*PlanStores)</f>
        <v>-1000000000</v>
      </c>
      <c r="AL65" s="82" t="str">
        <f>IF($C65="","",MATCH($C65,TierCodes,0))</f>
        <v/>
      </c>
      <c r="AM65" s="82" t="str">
        <f>IF($C65="","",IF(OR(StreetChoice="Typical street for its size",INDEX(Cand,AL65)=0),"",MOD($D65-1,INDEX(Cand,AL65))+1))</f>
        <v/>
      </c>
      <c r="AN65" s="82" t="str">
        <f>IF(AM65="","",MATCH($C65&amp;"|"&amp;AM65,Melbourne!$AA$58:$AA$135,0))</f>
        <v/>
      </c>
      <c r="AO65" s="76" t="str">
        <f>IF($C65="","",Ramp1*$N65*ContribMargin-$P65-INDEX(LicPlan,AL65))</f>
        <v/>
      </c>
      <c r="AP65" s="76" t="str">
        <f>IF($C65="","",Ramp2*$N65*ContribMargin-$P65-INDEX(LicPlan,AL65))</f>
        <v/>
      </c>
      <c r="AR65" s="61" t="str">
        <f>IF($C65="","",MAX(Scale!$C$7,($D65+Scale!$C$8*($A65-$D65))^LOG(Scale!$C$6,2)))</f>
        <v/>
      </c>
      <c r="AS65" s="61" t="str">
        <f>IF($C65="","",1-IF(IF(Deal="Commit to the full plan",PlanStores,$A65)&gt;=PBAt4,Scale!$C$12,IF(IF(Deal="Commit to the full plan",PlanStores,$A65)&gt;=PBAt3,Scale!$C$11,IF(IF(Deal="Commit to the full plan",PlanStores,$A65)&gt;=PBAt2,Scale!$C$10,IF(IF(Deal="Commit to the full plan",PlanStores,$A65)&gt;=PBAt1,Scale!$C$9,0)))))</f>
        <v/>
      </c>
      <c r="AT65" s="61" t="str">
        <f>IF($C65="","",MAX(Scale!$D$7,($D65+Scale!$D$8*($A65-$D65))^LOG(Scale!$D$6,2)))</f>
        <v/>
      </c>
      <c r="AU65" s="61" t="str">
        <f>IF($C65="","",1-IF(IF(Deal="Commit to the full plan",PlanStores,$A65)&gt;=PBAt4,Scale!$D$12,IF(IF(Deal="Commit to the full plan",PlanStores,$A65)&gt;=PBAt3,Scale!$D$11,IF(IF(Deal="Commit to the full plan",PlanStores,$A65)&gt;=PBAt2,Scale!$D$10,IF(IF(Deal="Commit to the full plan",PlanStores,$A65)&gt;=PBAt1,Scale!$D$9,0)))))</f>
        <v/>
      </c>
      <c r="AV65" s="61" t="str">
        <f>IF($C65="","",MAX(Scale!$E$7,($D65+Scale!$E$8*($A65-$D65))^LOG(Scale!$E$6,2)))</f>
        <v/>
      </c>
      <c r="AW65" s="61" t="str">
        <f>IF($C65="","",1-IF(IF(Deal="Commit to the full plan",PlanStores,$A65)&gt;=PBAt4,Scale!$E$12,IF(IF(Deal="Commit to the full plan",PlanStores,$A65)&gt;=PBAt3,Scale!$E$11,IF(IF(Deal="Commit to the full plan",PlanStores,$A65)&gt;=PBAt2,Scale!$E$10,IF(IF(Deal="Commit to the full plan",PlanStores,$A65)&gt;=PBAt1,Scale!$E$9,0)))))</f>
        <v/>
      </c>
    </row>
    <row r="66">
      <c r="A66" s="110" t="n">
        <v>45</v>
      </c>
      <c r="B66" s="111" t="str">
        <f>IF($A66&gt;PlanStores,"",1+COUNTIF(CumOpenings,"&lt;"&amp;$A66))</f>
        <v/>
      </c>
      <c r="C66" s="14" t="str">
        <f>IF($A66&gt;PlanStores,"",IF(AND($A66=1,FlagshipFirst="Yes",INDEX(Target,1)&gt;0),"SPLUS",IF(AND(AI66&gt;=AJ66,AI66&gt;=AK66),"SPLUS",IF(AJ66&gt;=AK66,"S","D"))))</f>
        <v/>
      </c>
      <c r="D66" s="111" t="str">
        <f>IF($C66="","",IF($C66="SPLUS",AF66,IF($C66="S",AG66,AH66)))</f>
        <v/>
      </c>
      <c r="E66" s="112" t="str">
        <f>IF($C66="","",$D66+LearnShared*($A66-$D66))</f>
        <v/>
      </c>
      <c r="F66" s="85" t="str">
        <f>IF($C66="","",MAX(LearnFloor,$E66^LOG(LearnRate,2)))</f>
        <v/>
      </c>
      <c r="G66" s="85" t="str">
        <f>IF($C66="","",1-IF(IF(Deal="Commit to the full plan",PlanStores,$A66)&gt;=PBAt4,PBDisc4,IF(IF(Deal="Commit to the full plan",PlanStores,$A66)&gt;=PBAt3,PBDisc3,IF(IF(Deal="Commit to the full plan",PlanStores,$A66)&gt;=PBAt2,PBDisc2,IF(IF(Deal="Commit to the full plan",PlanStores,$A66)&gt;=PBAt1,PBDisc1,0)))))</f>
        <v/>
      </c>
      <c r="H66" s="39" t="str">
        <f>IF($C66="","",INDEX(BaseL,AL66)*$F66+INDEX(BaseV,AL66)*$G66+INDEX(BaseN,AL66))</f>
        <v/>
      </c>
      <c r="I66" s="39" t="str">
        <f>IF($C66="","",$H66*(1+BuildInflation)^($B66-1))</f>
        <v/>
      </c>
      <c r="J66" s="40" t="str">
        <f>IF($C66="","",IF(AN66="",IF(INDEX(Cand,AL66)=0,"No street of this size","Typical "&amp;LOWER(INDEX(TierNames,AL66))&amp;" street"),INDEX(Melbourne!$B$58:$B$135,AN66)))</f>
        <v/>
      </c>
      <c r="K66" s="40" t="str">
        <f>IF(OR($C66="",AN66=""),"",INDEX(Melbourne!$C$58:$C$135,AN66))</f>
        <v/>
      </c>
      <c r="L66" s="46" t="str">
        <f>IF($C66="","",IF(AN66="",INDEX(TypicalF,AL66),INDEX(Melbourne!$E$58:$E$135,AN66)))</f>
        <v/>
      </c>
      <c r="M66" s="86" t="str">
        <f>IF($C66="","",IF(AN66="",INDEX(TypicalQ,AL66),INDEX(Melbourne!$N$58:$N$135,AN66)))</f>
        <v/>
      </c>
      <c r="N66" s="39" t="str">
        <f>IF($C66="","",MIN($L66*Capture*$M66*Conversion*Ticket,INDEX(CapacityPsf,AL66)*INDEX(Area,AL66)))</f>
        <v/>
      </c>
      <c r="O66" s="39" t="str">
        <f>IF($C66="","",INDEX(Area,AL66)*RentPsf*($L66/Fref)^RentElasticity)</f>
        <v/>
      </c>
      <c r="P66" s="39" t="str">
        <f>IF($C66="","",$O66+INDEX(RunOther,AL66))</f>
        <v/>
      </c>
      <c r="Q66" s="95" t="str">
        <f>IF($C66="","",$N66*ContribMargin-$P66-INDEX(LicPlan,AL66))</f>
        <v/>
      </c>
      <c r="R66" s="113" t="str">
        <f>IF($C66="","",IF(AND(AO66&gt;=$H66,AO66&gt;0),$H66/AO66,IF(AND(AO66+AP66&gt;=$H66,AP66&gt;0),1+($H66-AO66)/AP66,IF($Q66&gt;0,2+($H66-AO66-AP66)/$Q66,"Never"))))</f>
        <v/>
      </c>
      <c r="S66" s="39" t="str">
        <f>IF($C66="","",StockWeeks/52*$N66*(1-GrossMargin))</f>
        <v/>
      </c>
      <c r="U66" s="95">
        <f>IF(OR($C66="",U$21&lt;$B66),0,IF(U$21=$B66,OpenYearShare,1)*($N66*ContribMargin*IF(U$21=$B66,Ramp1,IF(U$21=$B66+1,Ramp2,1))-$P66-INDEX(LicByYear,AL66,U$21)))</f>
        <v>0</v>
      </c>
      <c r="V66" s="95">
        <f>IF(OR($C66="",V$21&lt;$B66),0,IF(V$21=$B66,OpenYearShare,1)*($N66*ContribMargin*IF(V$21=$B66,Ramp1,IF(V$21=$B66+1,Ramp2,1))-$P66-INDEX(LicByYear,AL66,V$21)))</f>
        <v>0</v>
      </c>
      <c r="W66" s="95">
        <f>IF(OR($C66="",W$21&lt;$B66),0,IF(W$21=$B66,OpenYearShare,1)*($N66*ContribMargin*IF(W$21=$B66,Ramp1,IF(W$21=$B66+1,Ramp2,1))-$P66-INDEX(LicByYear,AL66,W$21)))</f>
        <v>0</v>
      </c>
      <c r="X66" s="95">
        <f>IF(OR($C66="",X$21&lt;$B66),0,IF(X$21=$B66,OpenYearShare,1)*($N66*ContribMargin*IF(X$21=$B66,Ramp1,IF(X$21=$B66+1,Ramp2,1))-$P66-INDEX(LicByYear,AL66,X$21)))</f>
        <v>0</v>
      </c>
      <c r="Y66" s="95">
        <f>IF(OR($C66="",Y$21&lt;$B66),0,IF(Y$21=$B66,OpenYearShare,1)*($N66*ContribMargin*IF(Y$21=$B66,Ramp1,IF(Y$21=$B66+1,Ramp2,1))-$P66-INDEX(LicByYear,AL66,Y$21)))</f>
        <v>0</v>
      </c>
      <c r="Z66" s="95">
        <f>IF(OR($C66="",Z$21&lt;$B66),0,IF(Z$21=$B66,OpenYearShare,1)*($N66*ContribMargin*IF(Z$21=$B66,Ramp1,IF(Z$21=$B66+1,Ramp2,1))-$P66-INDEX(LicByYear,AL66,Z$21)))</f>
        <v>0</v>
      </c>
      <c r="AA66" s="95">
        <f>IF(OR($C66="",AA$21&lt;$B66),0,IF(AA$21=$B66,OpenYearShare,1)*($N66*ContribMargin*IF(AA$21=$B66,Ramp1,IF(AA$21=$B66+1,Ramp2,1))-$P66-INDEX(LicByYear,AL66,AA$21)))</f>
        <v>0</v>
      </c>
      <c r="AB66" s="95">
        <f>IF(OR($C66="",AB$21&lt;$B66),0,IF(AB$21=$B66,OpenYearShare,1)*($N66*ContribMargin*IF(AB$21=$B66,Ramp1,IF(AB$21=$B66+1,Ramp2,1))-$P66-INDEX(LicByYear,AL66,AB$21)))</f>
        <v>0</v>
      </c>
      <c r="AC66" s="95">
        <f>IF(OR($C66="",AC$21&lt;$B66),0,IF(AC$21=$B66,OpenYearShare,1)*($N66*ContribMargin*IF(AC$21=$B66,Ramp1,IF(AC$21=$B66+1,Ramp2,1))-$P66-INDEX(LicByYear,AL66,AC$21)))</f>
        <v>0</v>
      </c>
      <c r="AD66" s="95">
        <f>IF(OR($C66="",AD$21&lt;$B66),0,IF(AD$21=$B66,OpenYearShare,1)*($N66*ContribMargin*IF(AD$21=$B66,Ramp1,IF(AD$21=$B66+1,Ramp2,1))-$P66-INDEX(LicByYear,AL66,AD$21)))</f>
        <v>0</v>
      </c>
      <c r="AF66" s="82">
        <f>AF65+IF($C66="SPLUS",1,0)</f>
        <v>7</v>
      </c>
      <c r="AG66" s="82">
        <f>AG65+IF($C66="S",1,0)</f>
        <v>15</v>
      </c>
      <c r="AH66" s="82">
        <f>AH65+IF($C66="D",1,0)</f>
        <v>8</v>
      </c>
      <c r="AI66" s="105">
        <f>IF(OR($A66&gt;PlanStores,AF65&gt;=INDEX(Target,1)),-1000000000,INDEX(Target,1)*$A66-AF65*PlanStores)</f>
        <v>-1000000000</v>
      </c>
      <c r="AJ66" s="105">
        <f>IF(OR($A66&gt;PlanStores,AG65&gt;=INDEX(Target,2)),-1000000000,INDEX(Target,2)*$A66-AG65*PlanStores)</f>
        <v>-1000000000</v>
      </c>
      <c r="AK66" s="105">
        <f>IF(OR($A66&gt;PlanStores,AH65&gt;=INDEX(Target,3)),-1000000000,INDEX(Target,3)*$A66-AH65*PlanStores)</f>
        <v>-1000000000</v>
      </c>
      <c r="AL66" s="82" t="str">
        <f>IF($C66="","",MATCH($C66,TierCodes,0))</f>
        <v/>
      </c>
      <c r="AM66" s="82" t="str">
        <f>IF($C66="","",IF(OR(StreetChoice="Typical street for its size",INDEX(Cand,AL66)=0),"",MOD($D66-1,INDEX(Cand,AL66))+1))</f>
        <v/>
      </c>
      <c r="AN66" s="82" t="str">
        <f>IF(AM66="","",MATCH($C66&amp;"|"&amp;AM66,Melbourne!$AA$58:$AA$135,0))</f>
        <v/>
      </c>
      <c r="AO66" s="76" t="str">
        <f>IF($C66="","",Ramp1*$N66*ContribMargin-$P66-INDEX(LicPlan,AL66))</f>
        <v/>
      </c>
      <c r="AP66" s="76" t="str">
        <f>IF($C66="","",Ramp2*$N66*ContribMargin-$P66-INDEX(LicPlan,AL66))</f>
        <v/>
      </c>
      <c r="AR66" s="61" t="str">
        <f>IF($C66="","",MAX(Scale!$C$7,($D66+Scale!$C$8*($A66-$D66))^LOG(Scale!$C$6,2)))</f>
        <v/>
      </c>
      <c r="AS66" s="61" t="str">
        <f>IF($C66="","",1-IF(IF(Deal="Commit to the full plan",PlanStores,$A66)&gt;=PBAt4,Scale!$C$12,IF(IF(Deal="Commit to the full plan",PlanStores,$A66)&gt;=PBAt3,Scale!$C$11,IF(IF(Deal="Commit to the full plan",PlanStores,$A66)&gt;=PBAt2,Scale!$C$10,IF(IF(Deal="Commit to the full plan",PlanStores,$A66)&gt;=PBAt1,Scale!$C$9,0)))))</f>
        <v/>
      </c>
      <c r="AT66" s="61" t="str">
        <f>IF($C66="","",MAX(Scale!$D$7,($D66+Scale!$D$8*($A66-$D66))^LOG(Scale!$D$6,2)))</f>
        <v/>
      </c>
      <c r="AU66" s="61" t="str">
        <f>IF($C66="","",1-IF(IF(Deal="Commit to the full plan",PlanStores,$A66)&gt;=PBAt4,Scale!$D$12,IF(IF(Deal="Commit to the full plan",PlanStores,$A66)&gt;=PBAt3,Scale!$D$11,IF(IF(Deal="Commit to the full plan",PlanStores,$A66)&gt;=PBAt2,Scale!$D$10,IF(IF(Deal="Commit to the full plan",PlanStores,$A66)&gt;=PBAt1,Scale!$D$9,0)))))</f>
        <v/>
      </c>
      <c r="AV66" s="61" t="str">
        <f>IF($C66="","",MAX(Scale!$E$7,($D66+Scale!$E$8*($A66-$D66))^LOG(Scale!$E$6,2)))</f>
        <v/>
      </c>
      <c r="AW66" s="61" t="str">
        <f>IF($C66="","",1-IF(IF(Deal="Commit to the full plan",PlanStores,$A66)&gt;=PBAt4,Scale!$E$12,IF(IF(Deal="Commit to the full plan",PlanStores,$A66)&gt;=PBAt3,Scale!$E$11,IF(IF(Deal="Commit to the full plan",PlanStores,$A66)&gt;=PBAt2,Scale!$E$10,IF(IF(Deal="Commit to the full plan",PlanStores,$A66)&gt;=PBAt1,Scale!$E$9,0)))))</f>
        <v/>
      </c>
    </row>
    <row r="67">
      <c r="A67" s="110" t="n">
        <v>46</v>
      </c>
      <c r="B67" s="111" t="str">
        <f>IF($A67&gt;PlanStores,"",1+COUNTIF(CumOpenings,"&lt;"&amp;$A67))</f>
        <v/>
      </c>
      <c r="C67" s="14" t="str">
        <f>IF($A67&gt;PlanStores,"",IF(AND($A67=1,FlagshipFirst="Yes",INDEX(Target,1)&gt;0),"SPLUS",IF(AND(AI67&gt;=AJ67,AI67&gt;=AK67),"SPLUS",IF(AJ67&gt;=AK67,"S","D"))))</f>
        <v/>
      </c>
      <c r="D67" s="111" t="str">
        <f>IF($C67="","",IF($C67="SPLUS",AF67,IF($C67="S",AG67,AH67)))</f>
        <v/>
      </c>
      <c r="E67" s="112" t="str">
        <f>IF($C67="","",$D67+LearnShared*($A67-$D67))</f>
        <v/>
      </c>
      <c r="F67" s="85" t="str">
        <f>IF($C67="","",MAX(LearnFloor,$E67^LOG(LearnRate,2)))</f>
        <v/>
      </c>
      <c r="G67" s="85" t="str">
        <f>IF($C67="","",1-IF(IF(Deal="Commit to the full plan",PlanStores,$A67)&gt;=PBAt4,PBDisc4,IF(IF(Deal="Commit to the full plan",PlanStores,$A67)&gt;=PBAt3,PBDisc3,IF(IF(Deal="Commit to the full plan",PlanStores,$A67)&gt;=PBAt2,PBDisc2,IF(IF(Deal="Commit to the full plan",PlanStores,$A67)&gt;=PBAt1,PBDisc1,0)))))</f>
        <v/>
      </c>
      <c r="H67" s="39" t="str">
        <f>IF($C67="","",INDEX(BaseL,AL67)*$F67+INDEX(BaseV,AL67)*$G67+INDEX(BaseN,AL67))</f>
        <v/>
      </c>
      <c r="I67" s="39" t="str">
        <f>IF($C67="","",$H67*(1+BuildInflation)^($B67-1))</f>
        <v/>
      </c>
      <c r="J67" s="40" t="str">
        <f>IF($C67="","",IF(AN67="",IF(INDEX(Cand,AL67)=0,"No street of this size","Typical "&amp;LOWER(INDEX(TierNames,AL67))&amp;" street"),INDEX(Melbourne!$B$58:$B$135,AN67)))</f>
        <v/>
      </c>
      <c r="K67" s="40" t="str">
        <f>IF(OR($C67="",AN67=""),"",INDEX(Melbourne!$C$58:$C$135,AN67))</f>
        <v/>
      </c>
      <c r="L67" s="46" t="str">
        <f>IF($C67="","",IF(AN67="",INDEX(TypicalF,AL67),INDEX(Melbourne!$E$58:$E$135,AN67)))</f>
        <v/>
      </c>
      <c r="M67" s="86" t="str">
        <f>IF($C67="","",IF(AN67="",INDEX(TypicalQ,AL67),INDEX(Melbourne!$N$58:$N$135,AN67)))</f>
        <v/>
      </c>
      <c r="N67" s="39" t="str">
        <f>IF($C67="","",MIN($L67*Capture*$M67*Conversion*Ticket,INDEX(CapacityPsf,AL67)*INDEX(Area,AL67)))</f>
        <v/>
      </c>
      <c r="O67" s="39" t="str">
        <f>IF($C67="","",INDEX(Area,AL67)*RentPsf*($L67/Fref)^RentElasticity)</f>
        <v/>
      </c>
      <c r="P67" s="39" t="str">
        <f>IF($C67="","",$O67+INDEX(RunOther,AL67))</f>
        <v/>
      </c>
      <c r="Q67" s="95" t="str">
        <f>IF($C67="","",$N67*ContribMargin-$P67-INDEX(LicPlan,AL67))</f>
        <v/>
      </c>
      <c r="R67" s="113" t="str">
        <f>IF($C67="","",IF(AND(AO67&gt;=$H67,AO67&gt;0),$H67/AO67,IF(AND(AO67+AP67&gt;=$H67,AP67&gt;0),1+($H67-AO67)/AP67,IF($Q67&gt;0,2+($H67-AO67-AP67)/$Q67,"Never"))))</f>
        <v/>
      </c>
      <c r="S67" s="39" t="str">
        <f>IF($C67="","",StockWeeks/52*$N67*(1-GrossMargin))</f>
        <v/>
      </c>
      <c r="U67" s="95">
        <f>IF(OR($C67="",U$21&lt;$B67),0,IF(U$21=$B67,OpenYearShare,1)*($N67*ContribMargin*IF(U$21=$B67,Ramp1,IF(U$21=$B67+1,Ramp2,1))-$P67-INDEX(LicByYear,AL67,U$21)))</f>
        <v>0</v>
      </c>
      <c r="V67" s="95">
        <f>IF(OR($C67="",V$21&lt;$B67),0,IF(V$21=$B67,OpenYearShare,1)*($N67*ContribMargin*IF(V$21=$B67,Ramp1,IF(V$21=$B67+1,Ramp2,1))-$P67-INDEX(LicByYear,AL67,V$21)))</f>
        <v>0</v>
      </c>
      <c r="W67" s="95">
        <f>IF(OR($C67="",W$21&lt;$B67),0,IF(W$21=$B67,OpenYearShare,1)*($N67*ContribMargin*IF(W$21=$B67,Ramp1,IF(W$21=$B67+1,Ramp2,1))-$P67-INDEX(LicByYear,AL67,W$21)))</f>
        <v>0</v>
      </c>
      <c r="X67" s="95">
        <f>IF(OR($C67="",X$21&lt;$B67),0,IF(X$21=$B67,OpenYearShare,1)*($N67*ContribMargin*IF(X$21=$B67,Ramp1,IF(X$21=$B67+1,Ramp2,1))-$P67-INDEX(LicByYear,AL67,X$21)))</f>
        <v>0</v>
      </c>
      <c r="Y67" s="95">
        <f>IF(OR($C67="",Y$21&lt;$B67),0,IF(Y$21=$B67,OpenYearShare,1)*($N67*ContribMargin*IF(Y$21=$B67,Ramp1,IF(Y$21=$B67+1,Ramp2,1))-$P67-INDEX(LicByYear,AL67,Y$21)))</f>
        <v>0</v>
      </c>
      <c r="Z67" s="95">
        <f>IF(OR($C67="",Z$21&lt;$B67),0,IF(Z$21=$B67,OpenYearShare,1)*($N67*ContribMargin*IF(Z$21=$B67,Ramp1,IF(Z$21=$B67+1,Ramp2,1))-$P67-INDEX(LicByYear,AL67,Z$21)))</f>
        <v>0</v>
      </c>
      <c r="AA67" s="95">
        <f>IF(OR($C67="",AA$21&lt;$B67),0,IF(AA$21=$B67,OpenYearShare,1)*($N67*ContribMargin*IF(AA$21=$B67,Ramp1,IF(AA$21=$B67+1,Ramp2,1))-$P67-INDEX(LicByYear,AL67,AA$21)))</f>
        <v>0</v>
      </c>
      <c r="AB67" s="95">
        <f>IF(OR($C67="",AB$21&lt;$B67),0,IF(AB$21=$B67,OpenYearShare,1)*($N67*ContribMargin*IF(AB$21=$B67,Ramp1,IF(AB$21=$B67+1,Ramp2,1))-$P67-INDEX(LicByYear,AL67,AB$21)))</f>
        <v>0</v>
      </c>
      <c r="AC67" s="95">
        <f>IF(OR($C67="",AC$21&lt;$B67),0,IF(AC$21=$B67,OpenYearShare,1)*($N67*ContribMargin*IF(AC$21=$B67,Ramp1,IF(AC$21=$B67+1,Ramp2,1))-$P67-INDEX(LicByYear,AL67,AC$21)))</f>
        <v>0</v>
      </c>
      <c r="AD67" s="95">
        <f>IF(OR($C67="",AD$21&lt;$B67),0,IF(AD$21=$B67,OpenYearShare,1)*($N67*ContribMargin*IF(AD$21=$B67,Ramp1,IF(AD$21=$B67+1,Ramp2,1))-$P67-INDEX(LicByYear,AL67,AD$21)))</f>
        <v>0</v>
      </c>
      <c r="AF67" s="82">
        <f>AF66+IF($C67="SPLUS",1,0)</f>
        <v>7</v>
      </c>
      <c r="AG67" s="82">
        <f>AG66+IF($C67="S",1,0)</f>
        <v>15</v>
      </c>
      <c r="AH67" s="82">
        <f>AH66+IF($C67="D",1,0)</f>
        <v>8</v>
      </c>
      <c r="AI67" s="105">
        <f>IF(OR($A67&gt;PlanStores,AF66&gt;=INDEX(Target,1)),-1000000000,INDEX(Target,1)*$A67-AF66*PlanStores)</f>
        <v>-1000000000</v>
      </c>
      <c r="AJ67" s="105">
        <f>IF(OR($A67&gt;PlanStores,AG66&gt;=INDEX(Target,2)),-1000000000,INDEX(Target,2)*$A67-AG66*PlanStores)</f>
        <v>-1000000000</v>
      </c>
      <c r="AK67" s="105">
        <f>IF(OR($A67&gt;PlanStores,AH66&gt;=INDEX(Target,3)),-1000000000,INDEX(Target,3)*$A67-AH66*PlanStores)</f>
        <v>-1000000000</v>
      </c>
      <c r="AL67" s="82" t="str">
        <f>IF($C67="","",MATCH($C67,TierCodes,0))</f>
        <v/>
      </c>
      <c r="AM67" s="82" t="str">
        <f>IF($C67="","",IF(OR(StreetChoice="Typical street for its size",INDEX(Cand,AL67)=0),"",MOD($D67-1,INDEX(Cand,AL67))+1))</f>
        <v/>
      </c>
      <c r="AN67" s="82" t="str">
        <f>IF(AM67="","",MATCH($C67&amp;"|"&amp;AM67,Melbourne!$AA$58:$AA$135,0))</f>
        <v/>
      </c>
      <c r="AO67" s="76" t="str">
        <f>IF($C67="","",Ramp1*$N67*ContribMargin-$P67-INDEX(LicPlan,AL67))</f>
        <v/>
      </c>
      <c r="AP67" s="76" t="str">
        <f>IF($C67="","",Ramp2*$N67*ContribMargin-$P67-INDEX(LicPlan,AL67))</f>
        <v/>
      </c>
      <c r="AR67" s="61" t="str">
        <f>IF($C67="","",MAX(Scale!$C$7,($D67+Scale!$C$8*($A67-$D67))^LOG(Scale!$C$6,2)))</f>
        <v/>
      </c>
      <c r="AS67" s="61" t="str">
        <f>IF($C67="","",1-IF(IF(Deal="Commit to the full plan",PlanStores,$A67)&gt;=PBAt4,Scale!$C$12,IF(IF(Deal="Commit to the full plan",PlanStores,$A67)&gt;=PBAt3,Scale!$C$11,IF(IF(Deal="Commit to the full plan",PlanStores,$A67)&gt;=PBAt2,Scale!$C$10,IF(IF(Deal="Commit to the full plan",PlanStores,$A67)&gt;=PBAt1,Scale!$C$9,0)))))</f>
        <v/>
      </c>
      <c r="AT67" s="61" t="str">
        <f>IF($C67="","",MAX(Scale!$D$7,($D67+Scale!$D$8*($A67-$D67))^LOG(Scale!$D$6,2)))</f>
        <v/>
      </c>
      <c r="AU67" s="61" t="str">
        <f>IF($C67="","",1-IF(IF(Deal="Commit to the full plan",PlanStores,$A67)&gt;=PBAt4,Scale!$D$12,IF(IF(Deal="Commit to the full plan",PlanStores,$A67)&gt;=PBAt3,Scale!$D$11,IF(IF(Deal="Commit to the full plan",PlanStores,$A67)&gt;=PBAt2,Scale!$D$10,IF(IF(Deal="Commit to the full plan",PlanStores,$A67)&gt;=PBAt1,Scale!$D$9,0)))))</f>
        <v/>
      </c>
      <c r="AV67" s="61" t="str">
        <f>IF($C67="","",MAX(Scale!$E$7,($D67+Scale!$E$8*($A67-$D67))^LOG(Scale!$E$6,2)))</f>
        <v/>
      </c>
      <c r="AW67" s="61" t="str">
        <f>IF($C67="","",1-IF(IF(Deal="Commit to the full plan",PlanStores,$A67)&gt;=PBAt4,Scale!$E$12,IF(IF(Deal="Commit to the full plan",PlanStores,$A67)&gt;=PBAt3,Scale!$E$11,IF(IF(Deal="Commit to the full plan",PlanStores,$A67)&gt;=PBAt2,Scale!$E$10,IF(IF(Deal="Commit to the full plan",PlanStores,$A67)&gt;=PBAt1,Scale!$E$9,0)))))</f>
        <v/>
      </c>
    </row>
    <row r="68">
      <c r="A68" s="110" t="n">
        <v>47</v>
      </c>
      <c r="B68" s="111" t="str">
        <f>IF($A68&gt;PlanStores,"",1+COUNTIF(CumOpenings,"&lt;"&amp;$A68))</f>
        <v/>
      </c>
      <c r="C68" s="14" t="str">
        <f>IF($A68&gt;PlanStores,"",IF(AND($A68=1,FlagshipFirst="Yes",INDEX(Target,1)&gt;0),"SPLUS",IF(AND(AI68&gt;=AJ68,AI68&gt;=AK68),"SPLUS",IF(AJ68&gt;=AK68,"S","D"))))</f>
        <v/>
      </c>
      <c r="D68" s="111" t="str">
        <f>IF($C68="","",IF($C68="SPLUS",AF68,IF($C68="S",AG68,AH68)))</f>
        <v/>
      </c>
      <c r="E68" s="112" t="str">
        <f>IF($C68="","",$D68+LearnShared*($A68-$D68))</f>
        <v/>
      </c>
      <c r="F68" s="85" t="str">
        <f>IF($C68="","",MAX(LearnFloor,$E68^LOG(LearnRate,2)))</f>
        <v/>
      </c>
      <c r="G68" s="85" t="str">
        <f>IF($C68="","",1-IF(IF(Deal="Commit to the full plan",PlanStores,$A68)&gt;=PBAt4,PBDisc4,IF(IF(Deal="Commit to the full plan",PlanStores,$A68)&gt;=PBAt3,PBDisc3,IF(IF(Deal="Commit to the full plan",PlanStores,$A68)&gt;=PBAt2,PBDisc2,IF(IF(Deal="Commit to the full plan",PlanStores,$A68)&gt;=PBAt1,PBDisc1,0)))))</f>
        <v/>
      </c>
      <c r="H68" s="39" t="str">
        <f>IF($C68="","",INDEX(BaseL,AL68)*$F68+INDEX(BaseV,AL68)*$G68+INDEX(BaseN,AL68))</f>
        <v/>
      </c>
      <c r="I68" s="39" t="str">
        <f>IF($C68="","",$H68*(1+BuildInflation)^($B68-1))</f>
        <v/>
      </c>
      <c r="J68" s="40" t="str">
        <f>IF($C68="","",IF(AN68="",IF(INDEX(Cand,AL68)=0,"No street of this size","Typical "&amp;LOWER(INDEX(TierNames,AL68))&amp;" street"),INDEX(Melbourne!$B$58:$B$135,AN68)))</f>
        <v/>
      </c>
      <c r="K68" s="40" t="str">
        <f>IF(OR($C68="",AN68=""),"",INDEX(Melbourne!$C$58:$C$135,AN68))</f>
        <v/>
      </c>
      <c r="L68" s="46" t="str">
        <f>IF($C68="","",IF(AN68="",INDEX(TypicalF,AL68),INDEX(Melbourne!$E$58:$E$135,AN68)))</f>
        <v/>
      </c>
      <c r="M68" s="86" t="str">
        <f>IF($C68="","",IF(AN68="",INDEX(TypicalQ,AL68),INDEX(Melbourne!$N$58:$N$135,AN68)))</f>
        <v/>
      </c>
      <c r="N68" s="39" t="str">
        <f>IF($C68="","",MIN($L68*Capture*$M68*Conversion*Ticket,INDEX(CapacityPsf,AL68)*INDEX(Area,AL68)))</f>
        <v/>
      </c>
      <c r="O68" s="39" t="str">
        <f>IF($C68="","",INDEX(Area,AL68)*RentPsf*($L68/Fref)^RentElasticity)</f>
        <v/>
      </c>
      <c r="P68" s="39" t="str">
        <f>IF($C68="","",$O68+INDEX(RunOther,AL68))</f>
        <v/>
      </c>
      <c r="Q68" s="95" t="str">
        <f>IF($C68="","",$N68*ContribMargin-$P68-INDEX(LicPlan,AL68))</f>
        <v/>
      </c>
      <c r="R68" s="113" t="str">
        <f>IF($C68="","",IF(AND(AO68&gt;=$H68,AO68&gt;0),$H68/AO68,IF(AND(AO68+AP68&gt;=$H68,AP68&gt;0),1+($H68-AO68)/AP68,IF($Q68&gt;0,2+($H68-AO68-AP68)/$Q68,"Never"))))</f>
        <v/>
      </c>
      <c r="S68" s="39" t="str">
        <f>IF($C68="","",StockWeeks/52*$N68*(1-GrossMargin))</f>
        <v/>
      </c>
      <c r="U68" s="95">
        <f>IF(OR($C68="",U$21&lt;$B68),0,IF(U$21=$B68,OpenYearShare,1)*($N68*ContribMargin*IF(U$21=$B68,Ramp1,IF(U$21=$B68+1,Ramp2,1))-$P68-INDEX(LicByYear,AL68,U$21)))</f>
        <v>0</v>
      </c>
      <c r="V68" s="95">
        <f>IF(OR($C68="",V$21&lt;$B68),0,IF(V$21=$B68,OpenYearShare,1)*($N68*ContribMargin*IF(V$21=$B68,Ramp1,IF(V$21=$B68+1,Ramp2,1))-$P68-INDEX(LicByYear,AL68,V$21)))</f>
        <v>0</v>
      </c>
      <c r="W68" s="95">
        <f>IF(OR($C68="",W$21&lt;$B68),0,IF(W$21=$B68,OpenYearShare,1)*($N68*ContribMargin*IF(W$21=$B68,Ramp1,IF(W$21=$B68+1,Ramp2,1))-$P68-INDEX(LicByYear,AL68,W$21)))</f>
        <v>0</v>
      </c>
      <c r="X68" s="95">
        <f>IF(OR($C68="",X$21&lt;$B68),0,IF(X$21=$B68,OpenYearShare,1)*($N68*ContribMargin*IF(X$21=$B68,Ramp1,IF(X$21=$B68+1,Ramp2,1))-$P68-INDEX(LicByYear,AL68,X$21)))</f>
        <v>0</v>
      </c>
      <c r="Y68" s="95">
        <f>IF(OR($C68="",Y$21&lt;$B68),0,IF(Y$21=$B68,OpenYearShare,1)*($N68*ContribMargin*IF(Y$21=$B68,Ramp1,IF(Y$21=$B68+1,Ramp2,1))-$P68-INDEX(LicByYear,AL68,Y$21)))</f>
        <v>0</v>
      </c>
      <c r="Z68" s="95">
        <f>IF(OR($C68="",Z$21&lt;$B68),0,IF(Z$21=$B68,OpenYearShare,1)*($N68*ContribMargin*IF(Z$21=$B68,Ramp1,IF(Z$21=$B68+1,Ramp2,1))-$P68-INDEX(LicByYear,AL68,Z$21)))</f>
        <v>0</v>
      </c>
      <c r="AA68" s="95">
        <f>IF(OR($C68="",AA$21&lt;$B68),0,IF(AA$21=$B68,OpenYearShare,1)*($N68*ContribMargin*IF(AA$21=$B68,Ramp1,IF(AA$21=$B68+1,Ramp2,1))-$P68-INDEX(LicByYear,AL68,AA$21)))</f>
        <v>0</v>
      </c>
      <c r="AB68" s="95">
        <f>IF(OR($C68="",AB$21&lt;$B68),0,IF(AB$21=$B68,OpenYearShare,1)*($N68*ContribMargin*IF(AB$21=$B68,Ramp1,IF(AB$21=$B68+1,Ramp2,1))-$P68-INDEX(LicByYear,AL68,AB$21)))</f>
        <v>0</v>
      </c>
      <c r="AC68" s="95">
        <f>IF(OR($C68="",AC$21&lt;$B68),0,IF(AC$21=$B68,OpenYearShare,1)*($N68*ContribMargin*IF(AC$21=$B68,Ramp1,IF(AC$21=$B68+1,Ramp2,1))-$P68-INDEX(LicByYear,AL68,AC$21)))</f>
        <v>0</v>
      </c>
      <c r="AD68" s="95">
        <f>IF(OR($C68="",AD$21&lt;$B68),0,IF(AD$21=$B68,OpenYearShare,1)*($N68*ContribMargin*IF(AD$21=$B68,Ramp1,IF(AD$21=$B68+1,Ramp2,1))-$P68-INDEX(LicByYear,AL68,AD$21)))</f>
        <v>0</v>
      </c>
      <c r="AF68" s="82">
        <f>AF67+IF($C68="SPLUS",1,0)</f>
        <v>7</v>
      </c>
      <c r="AG68" s="82">
        <f>AG67+IF($C68="S",1,0)</f>
        <v>15</v>
      </c>
      <c r="AH68" s="82">
        <f>AH67+IF($C68="D",1,0)</f>
        <v>8</v>
      </c>
      <c r="AI68" s="105">
        <f>IF(OR($A68&gt;PlanStores,AF67&gt;=INDEX(Target,1)),-1000000000,INDEX(Target,1)*$A68-AF67*PlanStores)</f>
        <v>-1000000000</v>
      </c>
      <c r="AJ68" s="105">
        <f>IF(OR($A68&gt;PlanStores,AG67&gt;=INDEX(Target,2)),-1000000000,INDEX(Target,2)*$A68-AG67*PlanStores)</f>
        <v>-1000000000</v>
      </c>
      <c r="AK68" s="105">
        <f>IF(OR($A68&gt;PlanStores,AH67&gt;=INDEX(Target,3)),-1000000000,INDEX(Target,3)*$A68-AH67*PlanStores)</f>
        <v>-1000000000</v>
      </c>
      <c r="AL68" s="82" t="str">
        <f>IF($C68="","",MATCH($C68,TierCodes,0))</f>
        <v/>
      </c>
      <c r="AM68" s="82" t="str">
        <f>IF($C68="","",IF(OR(StreetChoice="Typical street for its size",INDEX(Cand,AL68)=0),"",MOD($D68-1,INDEX(Cand,AL68))+1))</f>
        <v/>
      </c>
      <c r="AN68" s="82" t="str">
        <f>IF(AM68="","",MATCH($C68&amp;"|"&amp;AM68,Melbourne!$AA$58:$AA$135,0))</f>
        <v/>
      </c>
      <c r="AO68" s="76" t="str">
        <f>IF($C68="","",Ramp1*$N68*ContribMargin-$P68-INDEX(LicPlan,AL68))</f>
        <v/>
      </c>
      <c r="AP68" s="76" t="str">
        <f>IF($C68="","",Ramp2*$N68*ContribMargin-$P68-INDEX(LicPlan,AL68))</f>
        <v/>
      </c>
      <c r="AR68" s="61" t="str">
        <f>IF($C68="","",MAX(Scale!$C$7,($D68+Scale!$C$8*($A68-$D68))^LOG(Scale!$C$6,2)))</f>
        <v/>
      </c>
      <c r="AS68" s="61" t="str">
        <f>IF($C68="","",1-IF(IF(Deal="Commit to the full plan",PlanStores,$A68)&gt;=PBAt4,Scale!$C$12,IF(IF(Deal="Commit to the full plan",PlanStores,$A68)&gt;=PBAt3,Scale!$C$11,IF(IF(Deal="Commit to the full plan",PlanStores,$A68)&gt;=PBAt2,Scale!$C$10,IF(IF(Deal="Commit to the full plan",PlanStores,$A68)&gt;=PBAt1,Scale!$C$9,0)))))</f>
        <v/>
      </c>
      <c r="AT68" s="61" t="str">
        <f>IF($C68="","",MAX(Scale!$D$7,($D68+Scale!$D$8*($A68-$D68))^LOG(Scale!$D$6,2)))</f>
        <v/>
      </c>
      <c r="AU68" s="61" t="str">
        <f>IF($C68="","",1-IF(IF(Deal="Commit to the full plan",PlanStores,$A68)&gt;=PBAt4,Scale!$D$12,IF(IF(Deal="Commit to the full plan",PlanStores,$A68)&gt;=PBAt3,Scale!$D$11,IF(IF(Deal="Commit to the full plan",PlanStores,$A68)&gt;=PBAt2,Scale!$D$10,IF(IF(Deal="Commit to the full plan",PlanStores,$A68)&gt;=PBAt1,Scale!$D$9,0)))))</f>
        <v/>
      </c>
      <c r="AV68" s="61" t="str">
        <f>IF($C68="","",MAX(Scale!$E$7,($D68+Scale!$E$8*($A68-$D68))^LOG(Scale!$E$6,2)))</f>
        <v/>
      </c>
      <c r="AW68" s="61" t="str">
        <f>IF($C68="","",1-IF(IF(Deal="Commit to the full plan",PlanStores,$A68)&gt;=PBAt4,Scale!$E$12,IF(IF(Deal="Commit to the full plan",PlanStores,$A68)&gt;=PBAt3,Scale!$E$11,IF(IF(Deal="Commit to the full plan",PlanStores,$A68)&gt;=PBAt2,Scale!$E$10,IF(IF(Deal="Commit to the full plan",PlanStores,$A68)&gt;=PBAt1,Scale!$E$9,0)))))</f>
        <v/>
      </c>
    </row>
    <row r="69">
      <c r="A69" s="110" t="n">
        <v>48</v>
      </c>
      <c r="B69" s="111" t="str">
        <f>IF($A69&gt;PlanStores,"",1+COUNTIF(CumOpenings,"&lt;"&amp;$A69))</f>
        <v/>
      </c>
      <c r="C69" s="14" t="str">
        <f>IF($A69&gt;PlanStores,"",IF(AND($A69=1,FlagshipFirst="Yes",INDEX(Target,1)&gt;0),"SPLUS",IF(AND(AI69&gt;=AJ69,AI69&gt;=AK69),"SPLUS",IF(AJ69&gt;=AK69,"S","D"))))</f>
        <v/>
      </c>
      <c r="D69" s="111" t="str">
        <f>IF($C69="","",IF($C69="SPLUS",AF69,IF($C69="S",AG69,AH69)))</f>
        <v/>
      </c>
      <c r="E69" s="112" t="str">
        <f>IF($C69="","",$D69+LearnShared*($A69-$D69))</f>
        <v/>
      </c>
      <c r="F69" s="85" t="str">
        <f>IF($C69="","",MAX(LearnFloor,$E69^LOG(LearnRate,2)))</f>
        <v/>
      </c>
      <c r="G69" s="85" t="str">
        <f>IF($C69="","",1-IF(IF(Deal="Commit to the full plan",PlanStores,$A69)&gt;=PBAt4,PBDisc4,IF(IF(Deal="Commit to the full plan",PlanStores,$A69)&gt;=PBAt3,PBDisc3,IF(IF(Deal="Commit to the full plan",PlanStores,$A69)&gt;=PBAt2,PBDisc2,IF(IF(Deal="Commit to the full plan",PlanStores,$A69)&gt;=PBAt1,PBDisc1,0)))))</f>
        <v/>
      </c>
      <c r="H69" s="39" t="str">
        <f>IF($C69="","",INDEX(BaseL,AL69)*$F69+INDEX(BaseV,AL69)*$G69+INDEX(BaseN,AL69))</f>
        <v/>
      </c>
      <c r="I69" s="39" t="str">
        <f>IF($C69="","",$H69*(1+BuildInflation)^($B69-1))</f>
        <v/>
      </c>
      <c r="J69" s="40" t="str">
        <f>IF($C69="","",IF(AN69="",IF(INDEX(Cand,AL69)=0,"No street of this size","Typical "&amp;LOWER(INDEX(TierNames,AL69))&amp;" street"),INDEX(Melbourne!$B$58:$B$135,AN69)))</f>
        <v/>
      </c>
      <c r="K69" s="40" t="str">
        <f>IF(OR($C69="",AN69=""),"",INDEX(Melbourne!$C$58:$C$135,AN69))</f>
        <v/>
      </c>
      <c r="L69" s="46" t="str">
        <f>IF($C69="","",IF(AN69="",INDEX(TypicalF,AL69),INDEX(Melbourne!$E$58:$E$135,AN69)))</f>
        <v/>
      </c>
      <c r="M69" s="86" t="str">
        <f>IF($C69="","",IF(AN69="",INDEX(TypicalQ,AL69),INDEX(Melbourne!$N$58:$N$135,AN69)))</f>
        <v/>
      </c>
      <c r="N69" s="39" t="str">
        <f>IF($C69="","",MIN($L69*Capture*$M69*Conversion*Ticket,INDEX(CapacityPsf,AL69)*INDEX(Area,AL69)))</f>
        <v/>
      </c>
      <c r="O69" s="39" t="str">
        <f>IF($C69="","",INDEX(Area,AL69)*RentPsf*($L69/Fref)^RentElasticity)</f>
        <v/>
      </c>
      <c r="P69" s="39" t="str">
        <f>IF($C69="","",$O69+INDEX(RunOther,AL69))</f>
        <v/>
      </c>
      <c r="Q69" s="95" t="str">
        <f>IF($C69="","",$N69*ContribMargin-$P69-INDEX(LicPlan,AL69))</f>
        <v/>
      </c>
      <c r="R69" s="113" t="str">
        <f>IF($C69="","",IF(AND(AO69&gt;=$H69,AO69&gt;0),$H69/AO69,IF(AND(AO69+AP69&gt;=$H69,AP69&gt;0),1+($H69-AO69)/AP69,IF($Q69&gt;0,2+($H69-AO69-AP69)/$Q69,"Never"))))</f>
        <v/>
      </c>
      <c r="S69" s="39" t="str">
        <f>IF($C69="","",StockWeeks/52*$N69*(1-GrossMargin))</f>
        <v/>
      </c>
      <c r="U69" s="95">
        <f>IF(OR($C69="",U$21&lt;$B69),0,IF(U$21=$B69,OpenYearShare,1)*($N69*ContribMargin*IF(U$21=$B69,Ramp1,IF(U$21=$B69+1,Ramp2,1))-$P69-INDEX(LicByYear,AL69,U$21)))</f>
        <v>0</v>
      </c>
      <c r="V69" s="95">
        <f>IF(OR($C69="",V$21&lt;$B69),0,IF(V$21=$B69,OpenYearShare,1)*($N69*ContribMargin*IF(V$21=$B69,Ramp1,IF(V$21=$B69+1,Ramp2,1))-$P69-INDEX(LicByYear,AL69,V$21)))</f>
        <v>0</v>
      </c>
      <c r="W69" s="95">
        <f>IF(OR($C69="",W$21&lt;$B69),0,IF(W$21=$B69,OpenYearShare,1)*($N69*ContribMargin*IF(W$21=$B69,Ramp1,IF(W$21=$B69+1,Ramp2,1))-$P69-INDEX(LicByYear,AL69,W$21)))</f>
        <v>0</v>
      </c>
      <c r="X69" s="95">
        <f>IF(OR($C69="",X$21&lt;$B69),0,IF(X$21=$B69,OpenYearShare,1)*($N69*ContribMargin*IF(X$21=$B69,Ramp1,IF(X$21=$B69+1,Ramp2,1))-$P69-INDEX(LicByYear,AL69,X$21)))</f>
        <v>0</v>
      </c>
      <c r="Y69" s="95">
        <f>IF(OR($C69="",Y$21&lt;$B69),0,IF(Y$21=$B69,OpenYearShare,1)*($N69*ContribMargin*IF(Y$21=$B69,Ramp1,IF(Y$21=$B69+1,Ramp2,1))-$P69-INDEX(LicByYear,AL69,Y$21)))</f>
        <v>0</v>
      </c>
      <c r="Z69" s="95">
        <f>IF(OR($C69="",Z$21&lt;$B69),0,IF(Z$21=$B69,OpenYearShare,1)*($N69*ContribMargin*IF(Z$21=$B69,Ramp1,IF(Z$21=$B69+1,Ramp2,1))-$P69-INDEX(LicByYear,AL69,Z$21)))</f>
        <v>0</v>
      </c>
      <c r="AA69" s="95">
        <f>IF(OR($C69="",AA$21&lt;$B69),0,IF(AA$21=$B69,OpenYearShare,1)*($N69*ContribMargin*IF(AA$21=$B69,Ramp1,IF(AA$21=$B69+1,Ramp2,1))-$P69-INDEX(LicByYear,AL69,AA$21)))</f>
        <v>0</v>
      </c>
      <c r="AB69" s="95">
        <f>IF(OR($C69="",AB$21&lt;$B69),0,IF(AB$21=$B69,OpenYearShare,1)*($N69*ContribMargin*IF(AB$21=$B69,Ramp1,IF(AB$21=$B69+1,Ramp2,1))-$P69-INDEX(LicByYear,AL69,AB$21)))</f>
        <v>0</v>
      </c>
      <c r="AC69" s="95">
        <f>IF(OR($C69="",AC$21&lt;$B69),0,IF(AC$21=$B69,OpenYearShare,1)*($N69*ContribMargin*IF(AC$21=$B69,Ramp1,IF(AC$21=$B69+1,Ramp2,1))-$P69-INDEX(LicByYear,AL69,AC$21)))</f>
        <v>0</v>
      </c>
      <c r="AD69" s="95">
        <f>IF(OR($C69="",AD$21&lt;$B69),0,IF(AD$21=$B69,OpenYearShare,1)*($N69*ContribMargin*IF(AD$21=$B69,Ramp1,IF(AD$21=$B69+1,Ramp2,1))-$P69-INDEX(LicByYear,AL69,AD$21)))</f>
        <v>0</v>
      </c>
      <c r="AF69" s="82">
        <f>AF68+IF($C69="SPLUS",1,0)</f>
        <v>7</v>
      </c>
      <c r="AG69" s="82">
        <f>AG68+IF($C69="S",1,0)</f>
        <v>15</v>
      </c>
      <c r="AH69" s="82">
        <f>AH68+IF($C69="D",1,0)</f>
        <v>8</v>
      </c>
      <c r="AI69" s="105">
        <f>IF(OR($A69&gt;PlanStores,AF68&gt;=INDEX(Target,1)),-1000000000,INDEX(Target,1)*$A69-AF68*PlanStores)</f>
        <v>-1000000000</v>
      </c>
      <c r="AJ69" s="105">
        <f>IF(OR($A69&gt;PlanStores,AG68&gt;=INDEX(Target,2)),-1000000000,INDEX(Target,2)*$A69-AG68*PlanStores)</f>
        <v>-1000000000</v>
      </c>
      <c r="AK69" s="105">
        <f>IF(OR($A69&gt;PlanStores,AH68&gt;=INDEX(Target,3)),-1000000000,INDEX(Target,3)*$A69-AH68*PlanStores)</f>
        <v>-1000000000</v>
      </c>
      <c r="AL69" s="82" t="str">
        <f>IF($C69="","",MATCH($C69,TierCodes,0))</f>
        <v/>
      </c>
      <c r="AM69" s="82" t="str">
        <f>IF($C69="","",IF(OR(StreetChoice="Typical street for its size",INDEX(Cand,AL69)=0),"",MOD($D69-1,INDEX(Cand,AL69))+1))</f>
        <v/>
      </c>
      <c r="AN69" s="82" t="str">
        <f>IF(AM69="","",MATCH($C69&amp;"|"&amp;AM69,Melbourne!$AA$58:$AA$135,0))</f>
        <v/>
      </c>
      <c r="AO69" s="76" t="str">
        <f>IF($C69="","",Ramp1*$N69*ContribMargin-$P69-INDEX(LicPlan,AL69))</f>
        <v/>
      </c>
      <c r="AP69" s="76" t="str">
        <f>IF($C69="","",Ramp2*$N69*ContribMargin-$P69-INDEX(LicPlan,AL69))</f>
        <v/>
      </c>
      <c r="AR69" s="61" t="str">
        <f>IF($C69="","",MAX(Scale!$C$7,($D69+Scale!$C$8*($A69-$D69))^LOG(Scale!$C$6,2)))</f>
        <v/>
      </c>
      <c r="AS69" s="61" t="str">
        <f>IF($C69="","",1-IF(IF(Deal="Commit to the full plan",PlanStores,$A69)&gt;=PBAt4,Scale!$C$12,IF(IF(Deal="Commit to the full plan",PlanStores,$A69)&gt;=PBAt3,Scale!$C$11,IF(IF(Deal="Commit to the full plan",PlanStores,$A69)&gt;=PBAt2,Scale!$C$10,IF(IF(Deal="Commit to the full plan",PlanStores,$A69)&gt;=PBAt1,Scale!$C$9,0)))))</f>
        <v/>
      </c>
      <c r="AT69" s="61" t="str">
        <f>IF($C69="","",MAX(Scale!$D$7,($D69+Scale!$D$8*($A69-$D69))^LOG(Scale!$D$6,2)))</f>
        <v/>
      </c>
      <c r="AU69" s="61" t="str">
        <f>IF($C69="","",1-IF(IF(Deal="Commit to the full plan",PlanStores,$A69)&gt;=PBAt4,Scale!$D$12,IF(IF(Deal="Commit to the full plan",PlanStores,$A69)&gt;=PBAt3,Scale!$D$11,IF(IF(Deal="Commit to the full plan",PlanStores,$A69)&gt;=PBAt2,Scale!$D$10,IF(IF(Deal="Commit to the full plan",PlanStores,$A69)&gt;=PBAt1,Scale!$D$9,0)))))</f>
        <v/>
      </c>
      <c r="AV69" s="61" t="str">
        <f>IF($C69="","",MAX(Scale!$E$7,($D69+Scale!$E$8*($A69-$D69))^LOG(Scale!$E$6,2)))</f>
        <v/>
      </c>
      <c r="AW69" s="61" t="str">
        <f>IF($C69="","",1-IF(IF(Deal="Commit to the full plan",PlanStores,$A69)&gt;=PBAt4,Scale!$E$12,IF(IF(Deal="Commit to the full plan",PlanStores,$A69)&gt;=PBAt3,Scale!$E$11,IF(IF(Deal="Commit to the full plan",PlanStores,$A69)&gt;=PBAt2,Scale!$E$10,IF(IF(Deal="Commit to the full plan",PlanStores,$A69)&gt;=PBAt1,Scale!$E$9,0)))))</f>
        <v/>
      </c>
    </row>
    <row r="70">
      <c r="A70" s="110" t="n">
        <v>49</v>
      </c>
      <c r="B70" s="111" t="str">
        <f>IF($A70&gt;PlanStores,"",1+COUNTIF(CumOpenings,"&lt;"&amp;$A70))</f>
        <v/>
      </c>
      <c r="C70" s="14" t="str">
        <f>IF($A70&gt;PlanStores,"",IF(AND($A70=1,FlagshipFirst="Yes",INDEX(Target,1)&gt;0),"SPLUS",IF(AND(AI70&gt;=AJ70,AI70&gt;=AK70),"SPLUS",IF(AJ70&gt;=AK70,"S","D"))))</f>
        <v/>
      </c>
      <c r="D70" s="111" t="str">
        <f>IF($C70="","",IF($C70="SPLUS",AF70,IF($C70="S",AG70,AH70)))</f>
        <v/>
      </c>
      <c r="E70" s="112" t="str">
        <f>IF($C70="","",$D70+LearnShared*($A70-$D70))</f>
        <v/>
      </c>
      <c r="F70" s="85" t="str">
        <f>IF($C70="","",MAX(LearnFloor,$E70^LOG(LearnRate,2)))</f>
        <v/>
      </c>
      <c r="G70" s="85" t="str">
        <f>IF($C70="","",1-IF(IF(Deal="Commit to the full plan",PlanStores,$A70)&gt;=PBAt4,PBDisc4,IF(IF(Deal="Commit to the full plan",PlanStores,$A70)&gt;=PBAt3,PBDisc3,IF(IF(Deal="Commit to the full plan",PlanStores,$A70)&gt;=PBAt2,PBDisc2,IF(IF(Deal="Commit to the full plan",PlanStores,$A70)&gt;=PBAt1,PBDisc1,0)))))</f>
        <v/>
      </c>
      <c r="H70" s="39" t="str">
        <f>IF($C70="","",INDEX(BaseL,AL70)*$F70+INDEX(BaseV,AL70)*$G70+INDEX(BaseN,AL70))</f>
        <v/>
      </c>
      <c r="I70" s="39" t="str">
        <f>IF($C70="","",$H70*(1+BuildInflation)^($B70-1))</f>
        <v/>
      </c>
      <c r="J70" s="40" t="str">
        <f>IF($C70="","",IF(AN70="",IF(INDEX(Cand,AL70)=0,"No street of this size","Typical "&amp;LOWER(INDEX(TierNames,AL70))&amp;" street"),INDEX(Melbourne!$B$58:$B$135,AN70)))</f>
        <v/>
      </c>
      <c r="K70" s="40" t="str">
        <f>IF(OR($C70="",AN70=""),"",INDEX(Melbourne!$C$58:$C$135,AN70))</f>
        <v/>
      </c>
      <c r="L70" s="46" t="str">
        <f>IF($C70="","",IF(AN70="",INDEX(TypicalF,AL70),INDEX(Melbourne!$E$58:$E$135,AN70)))</f>
        <v/>
      </c>
      <c r="M70" s="86" t="str">
        <f>IF($C70="","",IF(AN70="",INDEX(TypicalQ,AL70),INDEX(Melbourne!$N$58:$N$135,AN70)))</f>
        <v/>
      </c>
      <c r="N70" s="39" t="str">
        <f>IF($C70="","",MIN($L70*Capture*$M70*Conversion*Ticket,INDEX(CapacityPsf,AL70)*INDEX(Area,AL70)))</f>
        <v/>
      </c>
      <c r="O70" s="39" t="str">
        <f>IF($C70="","",INDEX(Area,AL70)*RentPsf*($L70/Fref)^RentElasticity)</f>
        <v/>
      </c>
      <c r="P70" s="39" t="str">
        <f>IF($C70="","",$O70+INDEX(RunOther,AL70))</f>
        <v/>
      </c>
      <c r="Q70" s="95" t="str">
        <f>IF($C70="","",$N70*ContribMargin-$P70-INDEX(LicPlan,AL70))</f>
        <v/>
      </c>
      <c r="R70" s="113" t="str">
        <f>IF($C70="","",IF(AND(AO70&gt;=$H70,AO70&gt;0),$H70/AO70,IF(AND(AO70+AP70&gt;=$H70,AP70&gt;0),1+($H70-AO70)/AP70,IF($Q70&gt;0,2+($H70-AO70-AP70)/$Q70,"Never"))))</f>
        <v/>
      </c>
      <c r="S70" s="39" t="str">
        <f>IF($C70="","",StockWeeks/52*$N70*(1-GrossMargin))</f>
        <v/>
      </c>
      <c r="U70" s="95">
        <f>IF(OR($C70="",U$21&lt;$B70),0,IF(U$21=$B70,OpenYearShare,1)*($N70*ContribMargin*IF(U$21=$B70,Ramp1,IF(U$21=$B70+1,Ramp2,1))-$P70-INDEX(LicByYear,AL70,U$21)))</f>
        <v>0</v>
      </c>
      <c r="V70" s="95">
        <f>IF(OR($C70="",V$21&lt;$B70),0,IF(V$21=$B70,OpenYearShare,1)*($N70*ContribMargin*IF(V$21=$B70,Ramp1,IF(V$21=$B70+1,Ramp2,1))-$P70-INDEX(LicByYear,AL70,V$21)))</f>
        <v>0</v>
      </c>
      <c r="W70" s="95">
        <f>IF(OR($C70="",W$21&lt;$B70),0,IF(W$21=$B70,OpenYearShare,1)*($N70*ContribMargin*IF(W$21=$B70,Ramp1,IF(W$21=$B70+1,Ramp2,1))-$P70-INDEX(LicByYear,AL70,W$21)))</f>
        <v>0</v>
      </c>
      <c r="X70" s="95">
        <f>IF(OR($C70="",X$21&lt;$B70),0,IF(X$21=$B70,OpenYearShare,1)*($N70*ContribMargin*IF(X$21=$B70,Ramp1,IF(X$21=$B70+1,Ramp2,1))-$P70-INDEX(LicByYear,AL70,X$21)))</f>
        <v>0</v>
      </c>
      <c r="Y70" s="95">
        <f>IF(OR($C70="",Y$21&lt;$B70),0,IF(Y$21=$B70,OpenYearShare,1)*($N70*ContribMargin*IF(Y$21=$B70,Ramp1,IF(Y$21=$B70+1,Ramp2,1))-$P70-INDEX(LicByYear,AL70,Y$21)))</f>
        <v>0</v>
      </c>
      <c r="Z70" s="95">
        <f>IF(OR($C70="",Z$21&lt;$B70),0,IF(Z$21=$B70,OpenYearShare,1)*($N70*ContribMargin*IF(Z$21=$B70,Ramp1,IF(Z$21=$B70+1,Ramp2,1))-$P70-INDEX(LicByYear,AL70,Z$21)))</f>
        <v>0</v>
      </c>
      <c r="AA70" s="95">
        <f>IF(OR($C70="",AA$21&lt;$B70),0,IF(AA$21=$B70,OpenYearShare,1)*($N70*ContribMargin*IF(AA$21=$B70,Ramp1,IF(AA$21=$B70+1,Ramp2,1))-$P70-INDEX(LicByYear,AL70,AA$21)))</f>
        <v>0</v>
      </c>
      <c r="AB70" s="95">
        <f>IF(OR($C70="",AB$21&lt;$B70),0,IF(AB$21=$B70,OpenYearShare,1)*($N70*ContribMargin*IF(AB$21=$B70,Ramp1,IF(AB$21=$B70+1,Ramp2,1))-$P70-INDEX(LicByYear,AL70,AB$21)))</f>
        <v>0</v>
      </c>
      <c r="AC70" s="95">
        <f>IF(OR($C70="",AC$21&lt;$B70),0,IF(AC$21=$B70,OpenYearShare,1)*($N70*ContribMargin*IF(AC$21=$B70,Ramp1,IF(AC$21=$B70+1,Ramp2,1))-$P70-INDEX(LicByYear,AL70,AC$21)))</f>
        <v>0</v>
      </c>
      <c r="AD70" s="95">
        <f>IF(OR($C70="",AD$21&lt;$B70),0,IF(AD$21=$B70,OpenYearShare,1)*($N70*ContribMargin*IF(AD$21=$B70,Ramp1,IF(AD$21=$B70+1,Ramp2,1))-$P70-INDEX(LicByYear,AL70,AD$21)))</f>
        <v>0</v>
      </c>
      <c r="AF70" s="82">
        <f>AF69+IF($C70="SPLUS",1,0)</f>
        <v>7</v>
      </c>
      <c r="AG70" s="82">
        <f>AG69+IF($C70="S",1,0)</f>
        <v>15</v>
      </c>
      <c r="AH70" s="82">
        <f>AH69+IF($C70="D",1,0)</f>
        <v>8</v>
      </c>
      <c r="AI70" s="105">
        <f>IF(OR($A70&gt;PlanStores,AF69&gt;=INDEX(Target,1)),-1000000000,INDEX(Target,1)*$A70-AF69*PlanStores)</f>
        <v>-1000000000</v>
      </c>
      <c r="AJ70" s="105">
        <f>IF(OR($A70&gt;PlanStores,AG69&gt;=INDEX(Target,2)),-1000000000,INDEX(Target,2)*$A70-AG69*PlanStores)</f>
        <v>-1000000000</v>
      </c>
      <c r="AK70" s="105">
        <f>IF(OR($A70&gt;PlanStores,AH69&gt;=INDEX(Target,3)),-1000000000,INDEX(Target,3)*$A70-AH69*PlanStores)</f>
        <v>-1000000000</v>
      </c>
      <c r="AL70" s="82" t="str">
        <f>IF($C70="","",MATCH($C70,TierCodes,0))</f>
        <v/>
      </c>
      <c r="AM70" s="82" t="str">
        <f>IF($C70="","",IF(OR(StreetChoice="Typical street for its size",INDEX(Cand,AL70)=0),"",MOD($D70-1,INDEX(Cand,AL70))+1))</f>
        <v/>
      </c>
      <c r="AN70" s="82" t="str">
        <f>IF(AM70="","",MATCH($C70&amp;"|"&amp;AM70,Melbourne!$AA$58:$AA$135,0))</f>
        <v/>
      </c>
      <c r="AO70" s="76" t="str">
        <f>IF($C70="","",Ramp1*$N70*ContribMargin-$P70-INDEX(LicPlan,AL70))</f>
        <v/>
      </c>
      <c r="AP70" s="76" t="str">
        <f>IF($C70="","",Ramp2*$N70*ContribMargin-$P70-INDEX(LicPlan,AL70))</f>
        <v/>
      </c>
      <c r="AR70" s="61" t="str">
        <f>IF($C70="","",MAX(Scale!$C$7,($D70+Scale!$C$8*($A70-$D70))^LOG(Scale!$C$6,2)))</f>
        <v/>
      </c>
      <c r="AS70" s="61" t="str">
        <f>IF($C70="","",1-IF(IF(Deal="Commit to the full plan",PlanStores,$A70)&gt;=PBAt4,Scale!$C$12,IF(IF(Deal="Commit to the full plan",PlanStores,$A70)&gt;=PBAt3,Scale!$C$11,IF(IF(Deal="Commit to the full plan",PlanStores,$A70)&gt;=PBAt2,Scale!$C$10,IF(IF(Deal="Commit to the full plan",PlanStores,$A70)&gt;=PBAt1,Scale!$C$9,0)))))</f>
        <v/>
      </c>
      <c r="AT70" s="61" t="str">
        <f>IF($C70="","",MAX(Scale!$D$7,($D70+Scale!$D$8*($A70-$D70))^LOG(Scale!$D$6,2)))</f>
        <v/>
      </c>
      <c r="AU70" s="61" t="str">
        <f>IF($C70="","",1-IF(IF(Deal="Commit to the full plan",PlanStores,$A70)&gt;=PBAt4,Scale!$D$12,IF(IF(Deal="Commit to the full plan",PlanStores,$A70)&gt;=PBAt3,Scale!$D$11,IF(IF(Deal="Commit to the full plan",PlanStores,$A70)&gt;=PBAt2,Scale!$D$10,IF(IF(Deal="Commit to the full plan",PlanStores,$A70)&gt;=PBAt1,Scale!$D$9,0)))))</f>
        <v/>
      </c>
      <c r="AV70" s="61" t="str">
        <f>IF($C70="","",MAX(Scale!$E$7,($D70+Scale!$E$8*($A70-$D70))^LOG(Scale!$E$6,2)))</f>
        <v/>
      </c>
      <c r="AW70" s="61" t="str">
        <f>IF($C70="","",1-IF(IF(Deal="Commit to the full plan",PlanStores,$A70)&gt;=PBAt4,Scale!$E$12,IF(IF(Deal="Commit to the full plan",PlanStores,$A70)&gt;=PBAt3,Scale!$E$11,IF(IF(Deal="Commit to the full plan",PlanStores,$A70)&gt;=PBAt2,Scale!$E$10,IF(IF(Deal="Commit to the full plan",PlanStores,$A70)&gt;=PBAt1,Scale!$E$9,0)))))</f>
        <v/>
      </c>
    </row>
    <row r="71">
      <c r="A71" s="110" t="n">
        <v>50</v>
      </c>
      <c r="B71" s="111" t="str">
        <f>IF($A71&gt;PlanStores,"",1+COUNTIF(CumOpenings,"&lt;"&amp;$A71))</f>
        <v/>
      </c>
      <c r="C71" s="14" t="str">
        <f>IF($A71&gt;PlanStores,"",IF(AND($A71=1,FlagshipFirst="Yes",INDEX(Target,1)&gt;0),"SPLUS",IF(AND(AI71&gt;=AJ71,AI71&gt;=AK71),"SPLUS",IF(AJ71&gt;=AK71,"S","D"))))</f>
        <v/>
      </c>
      <c r="D71" s="111" t="str">
        <f>IF($C71="","",IF($C71="SPLUS",AF71,IF($C71="S",AG71,AH71)))</f>
        <v/>
      </c>
      <c r="E71" s="112" t="str">
        <f>IF($C71="","",$D71+LearnShared*($A71-$D71))</f>
        <v/>
      </c>
      <c r="F71" s="85" t="str">
        <f>IF($C71="","",MAX(LearnFloor,$E71^LOG(LearnRate,2)))</f>
        <v/>
      </c>
      <c r="G71" s="85" t="str">
        <f>IF($C71="","",1-IF(IF(Deal="Commit to the full plan",PlanStores,$A71)&gt;=PBAt4,PBDisc4,IF(IF(Deal="Commit to the full plan",PlanStores,$A71)&gt;=PBAt3,PBDisc3,IF(IF(Deal="Commit to the full plan",PlanStores,$A71)&gt;=PBAt2,PBDisc2,IF(IF(Deal="Commit to the full plan",PlanStores,$A71)&gt;=PBAt1,PBDisc1,0)))))</f>
        <v/>
      </c>
      <c r="H71" s="39" t="str">
        <f>IF($C71="","",INDEX(BaseL,AL71)*$F71+INDEX(BaseV,AL71)*$G71+INDEX(BaseN,AL71))</f>
        <v/>
      </c>
      <c r="I71" s="39" t="str">
        <f>IF($C71="","",$H71*(1+BuildInflation)^($B71-1))</f>
        <v/>
      </c>
      <c r="J71" s="40" t="str">
        <f>IF($C71="","",IF(AN71="",IF(INDEX(Cand,AL71)=0,"No street of this size","Typical "&amp;LOWER(INDEX(TierNames,AL71))&amp;" street"),INDEX(Melbourne!$B$58:$B$135,AN71)))</f>
        <v/>
      </c>
      <c r="K71" s="40" t="str">
        <f>IF(OR($C71="",AN71=""),"",INDEX(Melbourne!$C$58:$C$135,AN71))</f>
        <v/>
      </c>
      <c r="L71" s="46" t="str">
        <f>IF($C71="","",IF(AN71="",INDEX(TypicalF,AL71),INDEX(Melbourne!$E$58:$E$135,AN71)))</f>
        <v/>
      </c>
      <c r="M71" s="86" t="str">
        <f>IF($C71="","",IF(AN71="",INDEX(TypicalQ,AL71),INDEX(Melbourne!$N$58:$N$135,AN71)))</f>
        <v/>
      </c>
      <c r="N71" s="39" t="str">
        <f>IF($C71="","",MIN($L71*Capture*$M71*Conversion*Ticket,INDEX(CapacityPsf,AL71)*INDEX(Area,AL71)))</f>
        <v/>
      </c>
      <c r="O71" s="39" t="str">
        <f>IF($C71="","",INDEX(Area,AL71)*RentPsf*($L71/Fref)^RentElasticity)</f>
        <v/>
      </c>
      <c r="P71" s="39" t="str">
        <f>IF($C71="","",$O71+INDEX(RunOther,AL71))</f>
        <v/>
      </c>
      <c r="Q71" s="95" t="str">
        <f>IF($C71="","",$N71*ContribMargin-$P71-INDEX(LicPlan,AL71))</f>
        <v/>
      </c>
      <c r="R71" s="113" t="str">
        <f>IF($C71="","",IF(AND(AO71&gt;=$H71,AO71&gt;0),$H71/AO71,IF(AND(AO71+AP71&gt;=$H71,AP71&gt;0),1+($H71-AO71)/AP71,IF($Q71&gt;0,2+($H71-AO71-AP71)/$Q71,"Never"))))</f>
        <v/>
      </c>
      <c r="S71" s="39" t="str">
        <f>IF($C71="","",StockWeeks/52*$N71*(1-GrossMargin))</f>
        <v/>
      </c>
      <c r="U71" s="95">
        <f>IF(OR($C71="",U$21&lt;$B71),0,IF(U$21=$B71,OpenYearShare,1)*($N71*ContribMargin*IF(U$21=$B71,Ramp1,IF(U$21=$B71+1,Ramp2,1))-$P71-INDEX(LicByYear,AL71,U$21)))</f>
        <v>0</v>
      </c>
      <c r="V71" s="95">
        <f>IF(OR($C71="",V$21&lt;$B71),0,IF(V$21=$B71,OpenYearShare,1)*($N71*ContribMargin*IF(V$21=$B71,Ramp1,IF(V$21=$B71+1,Ramp2,1))-$P71-INDEX(LicByYear,AL71,V$21)))</f>
        <v>0</v>
      </c>
      <c r="W71" s="95">
        <f>IF(OR($C71="",W$21&lt;$B71),0,IF(W$21=$B71,OpenYearShare,1)*($N71*ContribMargin*IF(W$21=$B71,Ramp1,IF(W$21=$B71+1,Ramp2,1))-$P71-INDEX(LicByYear,AL71,W$21)))</f>
        <v>0</v>
      </c>
      <c r="X71" s="95">
        <f>IF(OR($C71="",X$21&lt;$B71),0,IF(X$21=$B71,OpenYearShare,1)*($N71*ContribMargin*IF(X$21=$B71,Ramp1,IF(X$21=$B71+1,Ramp2,1))-$P71-INDEX(LicByYear,AL71,X$21)))</f>
        <v>0</v>
      </c>
      <c r="Y71" s="95">
        <f>IF(OR($C71="",Y$21&lt;$B71),0,IF(Y$21=$B71,OpenYearShare,1)*($N71*ContribMargin*IF(Y$21=$B71,Ramp1,IF(Y$21=$B71+1,Ramp2,1))-$P71-INDEX(LicByYear,AL71,Y$21)))</f>
        <v>0</v>
      </c>
      <c r="Z71" s="95">
        <f>IF(OR($C71="",Z$21&lt;$B71),0,IF(Z$21=$B71,OpenYearShare,1)*($N71*ContribMargin*IF(Z$21=$B71,Ramp1,IF(Z$21=$B71+1,Ramp2,1))-$P71-INDEX(LicByYear,AL71,Z$21)))</f>
        <v>0</v>
      </c>
      <c r="AA71" s="95">
        <f>IF(OR($C71="",AA$21&lt;$B71),0,IF(AA$21=$B71,OpenYearShare,1)*($N71*ContribMargin*IF(AA$21=$B71,Ramp1,IF(AA$21=$B71+1,Ramp2,1))-$P71-INDEX(LicByYear,AL71,AA$21)))</f>
        <v>0</v>
      </c>
      <c r="AB71" s="95">
        <f>IF(OR($C71="",AB$21&lt;$B71),0,IF(AB$21=$B71,OpenYearShare,1)*($N71*ContribMargin*IF(AB$21=$B71,Ramp1,IF(AB$21=$B71+1,Ramp2,1))-$P71-INDEX(LicByYear,AL71,AB$21)))</f>
        <v>0</v>
      </c>
      <c r="AC71" s="95">
        <f>IF(OR($C71="",AC$21&lt;$B71),0,IF(AC$21=$B71,OpenYearShare,1)*($N71*ContribMargin*IF(AC$21=$B71,Ramp1,IF(AC$21=$B71+1,Ramp2,1))-$P71-INDEX(LicByYear,AL71,AC$21)))</f>
        <v>0</v>
      </c>
      <c r="AD71" s="95">
        <f>IF(OR($C71="",AD$21&lt;$B71),0,IF(AD$21=$B71,OpenYearShare,1)*($N71*ContribMargin*IF(AD$21=$B71,Ramp1,IF(AD$21=$B71+1,Ramp2,1))-$P71-INDEX(LicByYear,AL71,AD$21)))</f>
        <v>0</v>
      </c>
      <c r="AF71" s="82">
        <f>AF70+IF($C71="SPLUS",1,0)</f>
        <v>7</v>
      </c>
      <c r="AG71" s="82">
        <f>AG70+IF($C71="S",1,0)</f>
        <v>15</v>
      </c>
      <c r="AH71" s="82">
        <f>AH70+IF($C71="D",1,0)</f>
        <v>8</v>
      </c>
      <c r="AI71" s="105">
        <f>IF(OR($A71&gt;PlanStores,AF70&gt;=INDEX(Target,1)),-1000000000,INDEX(Target,1)*$A71-AF70*PlanStores)</f>
        <v>-1000000000</v>
      </c>
      <c r="AJ71" s="105">
        <f>IF(OR($A71&gt;PlanStores,AG70&gt;=INDEX(Target,2)),-1000000000,INDEX(Target,2)*$A71-AG70*PlanStores)</f>
        <v>-1000000000</v>
      </c>
      <c r="AK71" s="105">
        <f>IF(OR($A71&gt;PlanStores,AH70&gt;=INDEX(Target,3)),-1000000000,INDEX(Target,3)*$A71-AH70*PlanStores)</f>
        <v>-1000000000</v>
      </c>
      <c r="AL71" s="82" t="str">
        <f>IF($C71="","",MATCH($C71,TierCodes,0))</f>
        <v/>
      </c>
      <c r="AM71" s="82" t="str">
        <f>IF($C71="","",IF(OR(StreetChoice="Typical street for its size",INDEX(Cand,AL71)=0),"",MOD($D71-1,INDEX(Cand,AL71))+1))</f>
        <v/>
      </c>
      <c r="AN71" s="82" t="str">
        <f>IF(AM71="","",MATCH($C71&amp;"|"&amp;AM71,Melbourne!$AA$58:$AA$135,0))</f>
        <v/>
      </c>
      <c r="AO71" s="76" t="str">
        <f>IF($C71="","",Ramp1*$N71*ContribMargin-$P71-INDEX(LicPlan,AL71))</f>
        <v/>
      </c>
      <c r="AP71" s="76" t="str">
        <f>IF($C71="","",Ramp2*$N71*ContribMargin-$P71-INDEX(LicPlan,AL71))</f>
        <v/>
      </c>
      <c r="AR71" s="61" t="str">
        <f>IF($C71="","",MAX(Scale!$C$7,($D71+Scale!$C$8*($A71-$D71))^LOG(Scale!$C$6,2)))</f>
        <v/>
      </c>
      <c r="AS71" s="61" t="str">
        <f>IF($C71="","",1-IF(IF(Deal="Commit to the full plan",PlanStores,$A71)&gt;=PBAt4,Scale!$C$12,IF(IF(Deal="Commit to the full plan",PlanStores,$A71)&gt;=PBAt3,Scale!$C$11,IF(IF(Deal="Commit to the full plan",PlanStores,$A71)&gt;=PBAt2,Scale!$C$10,IF(IF(Deal="Commit to the full plan",PlanStores,$A71)&gt;=PBAt1,Scale!$C$9,0)))))</f>
        <v/>
      </c>
      <c r="AT71" s="61" t="str">
        <f>IF($C71="","",MAX(Scale!$D$7,($D71+Scale!$D$8*($A71-$D71))^LOG(Scale!$D$6,2)))</f>
        <v/>
      </c>
      <c r="AU71" s="61" t="str">
        <f>IF($C71="","",1-IF(IF(Deal="Commit to the full plan",PlanStores,$A71)&gt;=PBAt4,Scale!$D$12,IF(IF(Deal="Commit to the full plan",PlanStores,$A71)&gt;=PBAt3,Scale!$D$11,IF(IF(Deal="Commit to the full plan",PlanStores,$A71)&gt;=PBAt2,Scale!$D$10,IF(IF(Deal="Commit to the full plan",PlanStores,$A71)&gt;=PBAt1,Scale!$D$9,0)))))</f>
        <v/>
      </c>
      <c r="AV71" s="61" t="str">
        <f>IF($C71="","",MAX(Scale!$E$7,($D71+Scale!$E$8*($A71-$D71))^LOG(Scale!$E$6,2)))</f>
        <v/>
      </c>
      <c r="AW71" s="61" t="str">
        <f>IF($C71="","",1-IF(IF(Deal="Commit to the full plan",PlanStores,$A71)&gt;=PBAt4,Scale!$E$12,IF(IF(Deal="Commit to the full plan",PlanStores,$A71)&gt;=PBAt3,Scale!$E$11,IF(IF(Deal="Commit to the full plan",PlanStores,$A71)&gt;=PBAt2,Scale!$E$10,IF(IF(Deal="Commit to the full plan",PlanStores,$A71)&gt;=PBAt1,Scale!$E$9,0)))))</f>
        <v/>
      </c>
    </row>
    <row r="72">
      <c r="A72" s="110" t="n">
        <v>51</v>
      </c>
      <c r="B72" s="111" t="str">
        <f>IF($A72&gt;PlanStores,"",1+COUNTIF(CumOpenings,"&lt;"&amp;$A72))</f>
        <v/>
      </c>
      <c r="C72" s="14" t="str">
        <f>IF($A72&gt;PlanStores,"",IF(AND($A72=1,FlagshipFirst="Yes",INDEX(Target,1)&gt;0),"SPLUS",IF(AND(AI72&gt;=AJ72,AI72&gt;=AK72),"SPLUS",IF(AJ72&gt;=AK72,"S","D"))))</f>
        <v/>
      </c>
      <c r="D72" s="111" t="str">
        <f>IF($C72="","",IF($C72="SPLUS",AF72,IF($C72="S",AG72,AH72)))</f>
        <v/>
      </c>
      <c r="E72" s="112" t="str">
        <f>IF($C72="","",$D72+LearnShared*($A72-$D72))</f>
        <v/>
      </c>
      <c r="F72" s="85" t="str">
        <f>IF($C72="","",MAX(LearnFloor,$E72^LOG(LearnRate,2)))</f>
        <v/>
      </c>
      <c r="G72" s="85" t="str">
        <f>IF($C72="","",1-IF(IF(Deal="Commit to the full plan",PlanStores,$A72)&gt;=PBAt4,PBDisc4,IF(IF(Deal="Commit to the full plan",PlanStores,$A72)&gt;=PBAt3,PBDisc3,IF(IF(Deal="Commit to the full plan",PlanStores,$A72)&gt;=PBAt2,PBDisc2,IF(IF(Deal="Commit to the full plan",PlanStores,$A72)&gt;=PBAt1,PBDisc1,0)))))</f>
        <v/>
      </c>
      <c r="H72" s="39" t="str">
        <f>IF($C72="","",INDEX(BaseL,AL72)*$F72+INDEX(BaseV,AL72)*$G72+INDEX(BaseN,AL72))</f>
        <v/>
      </c>
      <c r="I72" s="39" t="str">
        <f>IF($C72="","",$H72*(1+BuildInflation)^($B72-1))</f>
        <v/>
      </c>
      <c r="J72" s="40" t="str">
        <f>IF($C72="","",IF(AN72="",IF(INDEX(Cand,AL72)=0,"No street of this size","Typical "&amp;LOWER(INDEX(TierNames,AL72))&amp;" street"),INDEX(Melbourne!$B$58:$B$135,AN72)))</f>
        <v/>
      </c>
      <c r="K72" s="40" t="str">
        <f>IF(OR($C72="",AN72=""),"",INDEX(Melbourne!$C$58:$C$135,AN72))</f>
        <v/>
      </c>
      <c r="L72" s="46" t="str">
        <f>IF($C72="","",IF(AN72="",INDEX(TypicalF,AL72),INDEX(Melbourne!$E$58:$E$135,AN72)))</f>
        <v/>
      </c>
      <c r="M72" s="86" t="str">
        <f>IF($C72="","",IF(AN72="",INDEX(TypicalQ,AL72),INDEX(Melbourne!$N$58:$N$135,AN72)))</f>
        <v/>
      </c>
      <c r="N72" s="39" t="str">
        <f>IF($C72="","",MIN($L72*Capture*$M72*Conversion*Ticket,INDEX(CapacityPsf,AL72)*INDEX(Area,AL72)))</f>
        <v/>
      </c>
      <c r="O72" s="39" t="str">
        <f>IF($C72="","",INDEX(Area,AL72)*RentPsf*($L72/Fref)^RentElasticity)</f>
        <v/>
      </c>
      <c r="P72" s="39" t="str">
        <f>IF($C72="","",$O72+INDEX(RunOther,AL72))</f>
        <v/>
      </c>
      <c r="Q72" s="95" t="str">
        <f>IF($C72="","",$N72*ContribMargin-$P72-INDEX(LicPlan,AL72))</f>
        <v/>
      </c>
      <c r="R72" s="113" t="str">
        <f>IF($C72="","",IF(AND(AO72&gt;=$H72,AO72&gt;0),$H72/AO72,IF(AND(AO72+AP72&gt;=$H72,AP72&gt;0),1+($H72-AO72)/AP72,IF($Q72&gt;0,2+($H72-AO72-AP72)/$Q72,"Never"))))</f>
        <v/>
      </c>
      <c r="S72" s="39" t="str">
        <f>IF($C72="","",StockWeeks/52*$N72*(1-GrossMargin))</f>
        <v/>
      </c>
      <c r="U72" s="95">
        <f>IF(OR($C72="",U$21&lt;$B72),0,IF(U$21=$B72,OpenYearShare,1)*($N72*ContribMargin*IF(U$21=$B72,Ramp1,IF(U$21=$B72+1,Ramp2,1))-$P72-INDEX(LicByYear,AL72,U$21)))</f>
        <v>0</v>
      </c>
      <c r="V72" s="95">
        <f>IF(OR($C72="",V$21&lt;$B72),0,IF(V$21=$B72,OpenYearShare,1)*($N72*ContribMargin*IF(V$21=$B72,Ramp1,IF(V$21=$B72+1,Ramp2,1))-$P72-INDEX(LicByYear,AL72,V$21)))</f>
        <v>0</v>
      </c>
      <c r="W72" s="95">
        <f>IF(OR($C72="",W$21&lt;$B72),0,IF(W$21=$B72,OpenYearShare,1)*($N72*ContribMargin*IF(W$21=$B72,Ramp1,IF(W$21=$B72+1,Ramp2,1))-$P72-INDEX(LicByYear,AL72,W$21)))</f>
        <v>0</v>
      </c>
      <c r="X72" s="95">
        <f>IF(OR($C72="",X$21&lt;$B72),0,IF(X$21=$B72,OpenYearShare,1)*($N72*ContribMargin*IF(X$21=$B72,Ramp1,IF(X$21=$B72+1,Ramp2,1))-$P72-INDEX(LicByYear,AL72,X$21)))</f>
        <v>0</v>
      </c>
      <c r="Y72" s="95">
        <f>IF(OR($C72="",Y$21&lt;$B72),0,IF(Y$21=$B72,OpenYearShare,1)*($N72*ContribMargin*IF(Y$21=$B72,Ramp1,IF(Y$21=$B72+1,Ramp2,1))-$P72-INDEX(LicByYear,AL72,Y$21)))</f>
        <v>0</v>
      </c>
      <c r="Z72" s="95">
        <f>IF(OR($C72="",Z$21&lt;$B72),0,IF(Z$21=$B72,OpenYearShare,1)*($N72*ContribMargin*IF(Z$21=$B72,Ramp1,IF(Z$21=$B72+1,Ramp2,1))-$P72-INDEX(LicByYear,AL72,Z$21)))</f>
        <v>0</v>
      </c>
      <c r="AA72" s="95">
        <f>IF(OR($C72="",AA$21&lt;$B72),0,IF(AA$21=$B72,OpenYearShare,1)*($N72*ContribMargin*IF(AA$21=$B72,Ramp1,IF(AA$21=$B72+1,Ramp2,1))-$P72-INDEX(LicByYear,AL72,AA$21)))</f>
        <v>0</v>
      </c>
      <c r="AB72" s="95">
        <f>IF(OR($C72="",AB$21&lt;$B72),0,IF(AB$21=$B72,OpenYearShare,1)*($N72*ContribMargin*IF(AB$21=$B72,Ramp1,IF(AB$21=$B72+1,Ramp2,1))-$P72-INDEX(LicByYear,AL72,AB$21)))</f>
        <v>0</v>
      </c>
      <c r="AC72" s="95">
        <f>IF(OR($C72="",AC$21&lt;$B72),0,IF(AC$21=$B72,OpenYearShare,1)*($N72*ContribMargin*IF(AC$21=$B72,Ramp1,IF(AC$21=$B72+1,Ramp2,1))-$P72-INDEX(LicByYear,AL72,AC$21)))</f>
        <v>0</v>
      </c>
      <c r="AD72" s="95">
        <f>IF(OR($C72="",AD$21&lt;$B72),0,IF(AD$21=$B72,OpenYearShare,1)*($N72*ContribMargin*IF(AD$21=$B72,Ramp1,IF(AD$21=$B72+1,Ramp2,1))-$P72-INDEX(LicByYear,AL72,AD$21)))</f>
        <v>0</v>
      </c>
      <c r="AF72" s="82">
        <f>AF71+IF($C72="SPLUS",1,0)</f>
        <v>7</v>
      </c>
      <c r="AG72" s="82">
        <f>AG71+IF($C72="S",1,0)</f>
        <v>15</v>
      </c>
      <c r="AH72" s="82">
        <f>AH71+IF($C72="D",1,0)</f>
        <v>8</v>
      </c>
      <c r="AI72" s="105">
        <f>IF(OR($A72&gt;PlanStores,AF71&gt;=INDEX(Target,1)),-1000000000,INDEX(Target,1)*$A72-AF71*PlanStores)</f>
        <v>-1000000000</v>
      </c>
      <c r="AJ72" s="105">
        <f>IF(OR($A72&gt;PlanStores,AG71&gt;=INDEX(Target,2)),-1000000000,INDEX(Target,2)*$A72-AG71*PlanStores)</f>
        <v>-1000000000</v>
      </c>
      <c r="AK72" s="105">
        <f>IF(OR($A72&gt;PlanStores,AH71&gt;=INDEX(Target,3)),-1000000000,INDEX(Target,3)*$A72-AH71*PlanStores)</f>
        <v>-1000000000</v>
      </c>
      <c r="AL72" s="82" t="str">
        <f>IF($C72="","",MATCH($C72,TierCodes,0))</f>
        <v/>
      </c>
      <c r="AM72" s="82" t="str">
        <f>IF($C72="","",IF(OR(StreetChoice="Typical street for its size",INDEX(Cand,AL72)=0),"",MOD($D72-1,INDEX(Cand,AL72))+1))</f>
        <v/>
      </c>
      <c r="AN72" s="82" t="str">
        <f>IF(AM72="","",MATCH($C72&amp;"|"&amp;AM72,Melbourne!$AA$58:$AA$135,0))</f>
        <v/>
      </c>
      <c r="AO72" s="76" t="str">
        <f>IF($C72="","",Ramp1*$N72*ContribMargin-$P72-INDEX(LicPlan,AL72))</f>
        <v/>
      </c>
      <c r="AP72" s="76" t="str">
        <f>IF($C72="","",Ramp2*$N72*ContribMargin-$P72-INDEX(LicPlan,AL72))</f>
        <v/>
      </c>
      <c r="AR72" s="61" t="str">
        <f>IF($C72="","",MAX(Scale!$C$7,($D72+Scale!$C$8*($A72-$D72))^LOG(Scale!$C$6,2)))</f>
        <v/>
      </c>
      <c r="AS72" s="61" t="str">
        <f>IF($C72="","",1-IF(IF(Deal="Commit to the full plan",PlanStores,$A72)&gt;=PBAt4,Scale!$C$12,IF(IF(Deal="Commit to the full plan",PlanStores,$A72)&gt;=PBAt3,Scale!$C$11,IF(IF(Deal="Commit to the full plan",PlanStores,$A72)&gt;=PBAt2,Scale!$C$10,IF(IF(Deal="Commit to the full plan",PlanStores,$A72)&gt;=PBAt1,Scale!$C$9,0)))))</f>
        <v/>
      </c>
      <c r="AT72" s="61" t="str">
        <f>IF($C72="","",MAX(Scale!$D$7,($D72+Scale!$D$8*($A72-$D72))^LOG(Scale!$D$6,2)))</f>
        <v/>
      </c>
      <c r="AU72" s="61" t="str">
        <f>IF($C72="","",1-IF(IF(Deal="Commit to the full plan",PlanStores,$A72)&gt;=PBAt4,Scale!$D$12,IF(IF(Deal="Commit to the full plan",PlanStores,$A72)&gt;=PBAt3,Scale!$D$11,IF(IF(Deal="Commit to the full plan",PlanStores,$A72)&gt;=PBAt2,Scale!$D$10,IF(IF(Deal="Commit to the full plan",PlanStores,$A72)&gt;=PBAt1,Scale!$D$9,0)))))</f>
        <v/>
      </c>
      <c r="AV72" s="61" t="str">
        <f>IF($C72="","",MAX(Scale!$E$7,($D72+Scale!$E$8*($A72-$D72))^LOG(Scale!$E$6,2)))</f>
        <v/>
      </c>
      <c r="AW72" s="61" t="str">
        <f>IF($C72="","",1-IF(IF(Deal="Commit to the full plan",PlanStores,$A72)&gt;=PBAt4,Scale!$E$12,IF(IF(Deal="Commit to the full plan",PlanStores,$A72)&gt;=PBAt3,Scale!$E$11,IF(IF(Deal="Commit to the full plan",PlanStores,$A72)&gt;=PBAt2,Scale!$E$10,IF(IF(Deal="Commit to the full plan",PlanStores,$A72)&gt;=PBAt1,Scale!$E$9,0)))))</f>
        <v/>
      </c>
    </row>
    <row r="73">
      <c r="A73" s="110" t="n">
        <v>52</v>
      </c>
      <c r="B73" s="111" t="str">
        <f>IF($A73&gt;PlanStores,"",1+COUNTIF(CumOpenings,"&lt;"&amp;$A73))</f>
        <v/>
      </c>
      <c r="C73" s="14" t="str">
        <f>IF($A73&gt;PlanStores,"",IF(AND($A73=1,FlagshipFirst="Yes",INDEX(Target,1)&gt;0),"SPLUS",IF(AND(AI73&gt;=AJ73,AI73&gt;=AK73),"SPLUS",IF(AJ73&gt;=AK73,"S","D"))))</f>
        <v/>
      </c>
      <c r="D73" s="111" t="str">
        <f>IF($C73="","",IF($C73="SPLUS",AF73,IF($C73="S",AG73,AH73)))</f>
        <v/>
      </c>
      <c r="E73" s="112" t="str">
        <f>IF($C73="","",$D73+LearnShared*($A73-$D73))</f>
        <v/>
      </c>
      <c r="F73" s="85" t="str">
        <f>IF($C73="","",MAX(LearnFloor,$E73^LOG(LearnRate,2)))</f>
        <v/>
      </c>
      <c r="G73" s="85" t="str">
        <f>IF($C73="","",1-IF(IF(Deal="Commit to the full plan",PlanStores,$A73)&gt;=PBAt4,PBDisc4,IF(IF(Deal="Commit to the full plan",PlanStores,$A73)&gt;=PBAt3,PBDisc3,IF(IF(Deal="Commit to the full plan",PlanStores,$A73)&gt;=PBAt2,PBDisc2,IF(IF(Deal="Commit to the full plan",PlanStores,$A73)&gt;=PBAt1,PBDisc1,0)))))</f>
        <v/>
      </c>
      <c r="H73" s="39" t="str">
        <f>IF($C73="","",INDEX(BaseL,AL73)*$F73+INDEX(BaseV,AL73)*$G73+INDEX(BaseN,AL73))</f>
        <v/>
      </c>
      <c r="I73" s="39" t="str">
        <f>IF($C73="","",$H73*(1+BuildInflation)^($B73-1))</f>
        <v/>
      </c>
      <c r="J73" s="40" t="str">
        <f>IF($C73="","",IF(AN73="",IF(INDEX(Cand,AL73)=0,"No street of this size","Typical "&amp;LOWER(INDEX(TierNames,AL73))&amp;" street"),INDEX(Melbourne!$B$58:$B$135,AN73)))</f>
        <v/>
      </c>
      <c r="K73" s="40" t="str">
        <f>IF(OR($C73="",AN73=""),"",INDEX(Melbourne!$C$58:$C$135,AN73))</f>
        <v/>
      </c>
      <c r="L73" s="46" t="str">
        <f>IF($C73="","",IF(AN73="",INDEX(TypicalF,AL73),INDEX(Melbourne!$E$58:$E$135,AN73)))</f>
        <v/>
      </c>
      <c r="M73" s="86" t="str">
        <f>IF($C73="","",IF(AN73="",INDEX(TypicalQ,AL73),INDEX(Melbourne!$N$58:$N$135,AN73)))</f>
        <v/>
      </c>
      <c r="N73" s="39" t="str">
        <f>IF($C73="","",MIN($L73*Capture*$M73*Conversion*Ticket,INDEX(CapacityPsf,AL73)*INDEX(Area,AL73)))</f>
        <v/>
      </c>
      <c r="O73" s="39" t="str">
        <f>IF($C73="","",INDEX(Area,AL73)*RentPsf*($L73/Fref)^RentElasticity)</f>
        <v/>
      </c>
      <c r="P73" s="39" t="str">
        <f>IF($C73="","",$O73+INDEX(RunOther,AL73))</f>
        <v/>
      </c>
      <c r="Q73" s="95" t="str">
        <f>IF($C73="","",$N73*ContribMargin-$P73-INDEX(LicPlan,AL73))</f>
        <v/>
      </c>
      <c r="R73" s="113" t="str">
        <f>IF($C73="","",IF(AND(AO73&gt;=$H73,AO73&gt;0),$H73/AO73,IF(AND(AO73+AP73&gt;=$H73,AP73&gt;0),1+($H73-AO73)/AP73,IF($Q73&gt;0,2+($H73-AO73-AP73)/$Q73,"Never"))))</f>
        <v/>
      </c>
      <c r="S73" s="39" t="str">
        <f>IF($C73="","",StockWeeks/52*$N73*(1-GrossMargin))</f>
        <v/>
      </c>
      <c r="U73" s="95">
        <f>IF(OR($C73="",U$21&lt;$B73),0,IF(U$21=$B73,OpenYearShare,1)*($N73*ContribMargin*IF(U$21=$B73,Ramp1,IF(U$21=$B73+1,Ramp2,1))-$P73-INDEX(LicByYear,AL73,U$21)))</f>
        <v>0</v>
      </c>
      <c r="V73" s="95">
        <f>IF(OR($C73="",V$21&lt;$B73),0,IF(V$21=$B73,OpenYearShare,1)*($N73*ContribMargin*IF(V$21=$B73,Ramp1,IF(V$21=$B73+1,Ramp2,1))-$P73-INDEX(LicByYear,AL73,V$21)))</f>
        <v>0</v>
      </c>
      <c r="W73" s="95">
        <f>IF(OR($C73="",W$21&lt;$B73),0,IF(W$21=$B73,OpenYearShare,1)*($N73*ContribMargin*IF(W$21=$B73,Ramp1,IF(W$21=$B73+1,Ramp2,1))-$P73-INDEX(LicByYear,AL73,W$21)))</f>
        <v>0</v>
      </c>
      <c r="X73" s="95">
        <f>IF(OR($C73="",X$21&lt;$B73),0,IF(X$21=$B73,OpenYearShare,1)*($N73*ContribMargin*IF(X$21=$B73,Ramp1,IF(X$21=$B73+1,Ramp2,1))-$P73-INDEX(LicByYear,AL73,X$21)))</f>
        <v>0</v>
      </c>
      <c r="Y73" s="95">
        <f>IF(OR($C73="",Y$21&lt;$B73),0,IF(Y$21=$B73,OpenYearShare,1)*($N73*ContribMargin*IF(Y$21=$B73,Ramp1,IF(Y$21=$B73+1,Ramp2,1))-$P73-INDEX(LicByYear,AL73,Y$21)))</f>
        <v>0</v>
      </c>
      <c r="Z73" s="95">
        <f>IF(OR($C73="",Z$21&lt;$B73),0,IF(Z$21=$B73,OpenYearShare,1)*($N73*ContribMargin*IF(Z$21=$B73,Ramp1,IF(Z$21=$B73+1,Ramp2,1))-$P73-INDEX(LicByYear,AL73,Z$21)))</f>
        <v>0</v>
      </c>
      <c r="AA73" s="95">
        <f>IF(OR($C73="",AA$21&lt;$B73),0,IF(AA$21=$B73,OpenYearShare,1)*($N73*ContribMargin*IF(AA$21=$B73,Ramp1,IF(AA$21=$B73+1,Ramp2,1))-$P73-INDEX(LicByYear,AL73,AA$21)))</f>
        <v>0</v>
      </c>
      <c r="AB73" s="95">
        <f>IF(OR($C73="",AB$21&lt;$B73),0,IF(AB$21=$B73,OpenYearShare,1)*($N73*ContribMargin*IF(AB$21=$B73,Ramp1,IF(AB$21=$B73+1,Ramp2,1))-$P73-INDEX(LicByYear,AL73,AB$21)))</f>
        <v>0</v>
      </c>
      <c r="AC73" s="95">
        <f>IF(OR($C73="",AC$21&lt;$B73),0,IF(AC$21=$B73,OpenYearShare,1)*($N73*ContribMargin*IF(AC$21=$B73,Ramp1,IF(AC$21=$B73+1,Ramp2,1))-$P73-INDEX(LicByYear,AL73,AC$21)))</f>
        <v>0</v>
      </c>
      <c r="AD73" s="95">
        <f>IF(OR($C73="",AD$21&lt;$B73),0,IF(AD$21=$B73,OpenYearShare,1)*($N73*ContribMargin*IF(AD$21=$B73,Ramp1,IF(AD$21=$B73+1,Ramp2,1))-$P73-INDEX(LicByYear,AL73,AD$21)))</f>
        <v>0</v>
      </c>
      <c r="AF73" s="82">
        <f>AF72+IF($C73="SPLUS",1,0)</f>
        <v>7</v>
      </c>
      <c r="AG73" s="82">
        <f>AG72+IF($C73="S",1,0)</f>
        <v>15</v>
      </c>
      <c r="AH73" s="82">
        <f>AH72+IF($C73="D",1,0)</f>
        <v>8</v>
      </c>
      <c r="AI73" s="105">
        <f>IF(OR($A73&gt;PlanStores,AF72&gt;=INDEX(Target,1)),-1000000000,INDEX(Target,1)*$A73-AF72*PlanStores)</f>
        <v>-1000000000</v>
      </c>
      <c r="AJ73" s="105">
        <f>IF(OR($A73&gt;PlanStores,AG72&gt;=INDEX(Target,2)),-1000000000,INDEX(Target,2)*$A73-AG72*PlanStores)</f>
        <v>-1000000000</v>
      </c>
      <c r="AK73" s="105">
        <f>IF(OR($A73&gt;PlanStores,AH72&gt;=INDEX(Target,3)),-1000000000,INDEX(Target,3)*$A73-AH72*PlanStores)</f>
        <v>-1000000000</v>
      </c>
      <c r="AL73" s="82" t="str">
        <f>IF($C73="","",MATCH($C73,TierCodes,0))</f>
        <v/>
      </c>
      <c r="AM73" s="82" t="str">
        <f>IF($C73="","",IF(OR(StreetChoice="Typical street for its size",INDEX(Cand,AL73)=0),"",MOD($D73-1,INDEX(Cand,AL73))+1))</f>
        <v/>
      </c>
      <c r="AN73" s="82" t="str">
        <f>IF(AM73="","",MATCH($C73&amp;"|"&amp;AM73,Melbourne!$AA$58:$AA$135,0))</f>
        <v/>
      </c>
      <c r="AO73" s="76" t="str">
        <f>IF($C73="","",Ramp1*$N73*ContribMargin-$P73-INDEX(LicPlan,AL73))</f>
        <v/>
      </c>
      <c r="AP73" s="76" t="str">
        <f>IF($C73="","",Ramp2*$N73*ContribMargin-$P73-INDEX(LicPlan,AL73))</f>
        <v/>
      </c>
      <c r="AR73" s="61" t="str">
        <f>IF($C73="","",MAX(Scale!$C$7,($D73+Scale!$C$8*($A73-$D73))^LOG(Scale!$C$6,2)))</f>
        <v/>
      </c>
      <c r="AS73" s="61" t="str">
        <f>IF($C73="","",1-IF(IF(Deal="Commit to the full plan",PlanStores,$A73)&gt;=PBAt4,Scale!$C$12,IF(IF(Deal="Commit to the full plan",PlanStores,$A73)&gt;=PBAt3,Scale!$C$11,IF(IF(Deal="Commit to the full plan",PlanStores,$A73)&gt;=PBAt2,Scale!$C$10,IF(IF(Deal="Commit to the full plan",PlanStores,$A73)&gt;=PBAt1,Scale!$C$9,0)))))</f>
        <v/>
      </c>
      <c r="AT73" s="61" t="str">
        <f>IF($C73="","",MAX(Scale!$D$7,($D73+Scale!$D$8*($A73-$D73))^LOG(Scale!$D$6,2)))</f>
        <v/>
      </c>
      <c r="AU73" s="61" t="str">
        <f>IF($C73="","",1-IF(IF(Deal="Commit to the full plan",PlanStores,$A73)&gt;=PBAt4,Scale!$D$12,IF(IF(Deal="Commit to the full plan",PlanStores,$A73)&gt;=PBAt3,Scale!$D$11,IF(IF(Deal="Commit to the full plan",PlanStores,$A73)&gt;=PBAt2,Scale!$D$10,IF(IF(Deal="Commit to the full plan",PlanStores,$A73)&gt;=PBAt1,Scale!$D$9,0)))))</f>
        <v/>
      </c>
      <c r="AV73" s="61" t="str">
        <f>IF($C73="","",MAX(Scale!$E$7,($D73+Scale!$E$8*($A73-$D73))^LOG(Scale!$E$6,2)))</f>
        <v/>
      </c>
      <c r="AW73" s="61" t="str">
        <f>IF($C73="","",1-IF(IF(Deal="Commit to the full plan",PlanStores,$A73)&gt;=PBAt4,Scale!$E$12,IF(IF(Deal="Commit to the full plan",PlanStores,$A73)&gt;=PBAt3,Scale!$E$11,IF(IF(Deal="Commit to the full plan",PlanStores,$A73)&gt;=PBAt2,Scale!$E$10,IF(IF(Deal="Commit to the full plan",PlanStores,$A73)&gt;=PBAt1,Scale!$E$9,0)))))</f>
        <v/>
      </c>
    </row>
    <row r="74">
      <c r="A74" s="110" t="n">
        <v>53</v>
      </c>
      <c r="B74" s="111" t="str">
        <f>IF($A74&gt;PlanStores,"",1+COUNTIF(CumOpenings,"&lt;"&amp;$A74))</f>
        <v/>
      </c>
      <c r="C74" s="14" t="str">
        <f>IF($A74&gt;PlanStores,"",IF(AND($A74=1,FlagshipFirst="Yes",INDEX(Target,1)&gt;0),"SPLUS",IF(AND(AI74&gt;=AJ74,AI74&gt;=AK74),"SPLUS",IF(AJ74&gt;=AK74,"S","D"))))</f>
        <v/>
      </c>
      <c r="D74" s="111" t="str">
        <f>IF($C74="","",IF($C74="SPLUS",AF74,IF($C74="S",AG74,AH74)))</f>
        <v/>
      </c>
      <c r="E74" s="112" t="str">
        <f>IF($C74="","",$D74+LearnShared*($A74-$D74))</f>
        <v/>
      </c>
      <c r="F74" s="85" t="str">
        <f>IF($C74="","",MAX(LearnFloor,$E74^LOG(LearnRate,2)))</f>
        <v/>
      </c>
      <c r="G74" s="85" t="str">
        <f>IF($C74="","",1-IF(IF(Deal="Commit to the full plan",PlanStores,$A74)&gt;=PBAt4,PBDisc4,IF(IF(Deal="Commit to the full plan",PlanStores,$A74)&gt;=PBAt3,PBDisc3,IF(IF(Deal="Commit to the full plan",PlanStores,$A74)&gt;=PBAt2,PBDisc2,IF(IF(Deal="Commit to the full plan",PlanStores,$A74)&gt;=PBAt1,PBDisc1,0)))))</f>
        <v/>
      </c>
      <c r="H74" s="39" t="str">
        <f>IF($C74="","",INDEX(BaseL,AL74)*$F74+INDEX(BaseV,AL74)*$G74+INDEX(BaseN,AL74))</f>
        <v/>
      </c>
      <c r="I74" s="39" t="str">
        <f>IF($C74="","",$H74*(1+BuildInflation)^($B74-1))</f>
        <v/>
      </c>
      <c r="J74" s="40" t="str">
        <f>IF($C74="","",IF(AN74="",IF(INDEX(Cand,AL74)=0,"No street of this size","Typical "&amp;LOWER(INDEX(TierNames,AL74))&amp;" street"),INDEX(Melbourne!$B$58:$B$135,AN74)))</f>
        <v/>
      </c>
      <c r="K74" s="40" t="str">
        <f>IF(OR($C74="",AN74=""),"",INDEX(Melbourne!$C$58:$C$135,AN74))</f>
        <v/>
      </c>
      <c r="L74" s="46" t="str">
        <f>IF($C74="","",IF(AN74="",INDEX(TypicalF,AL74),INDEX(Melbourne!$E$58:$E$135,AN74)))</f>
        <v/>
      </c>
      <c r="M74" s="86" t="str">
        <f>IF($C74="","",IF(AN74="",INDEX(TypicalQ,AL74),INDEX(Melbourne!$N$58:$N$135,AN74)))</f>
        <v/>
      </c>
      <c r="N74" s="39" t="str">
        <f>IF($C74="","",MIN($L74*Capture*$M74*Conversion*Ticket,INDEX(CapacityPsf,AL74)*INDEX(Area,AL74)))</f>
        <v/>
      </c>
      <c r="O74" s="39" t="str">
        <f>IF($C74="","",INDEX(Area,AL74)*RentPsf*($L74/Fref)^RentElasticity)</f>
        <v/>
      </c>
      <c r="P74" s="39" t="str">
        <f>IF($C74="","",$O74+INDEX(RunOther,AL74))</f>
        <v/>
      </c>
      <c r="Q74" s="95" t="str">
        <f>IF($C74="","",$N74*ContribMargin-$P74-INDEX(LicPlan,AL74))</f>
        <v/>
      </c>
      <c r="R74" s="113" t="str">
        <f>IF($C74="","",IF(AND(AO74&gt;=$H74,AO74&gt;0),$H74/AO74,IF(AND(AO74+AP74&gt;=$H74,AP74&gt;0),1+($H74-AO74)/AP74,IF($Q74&gt;0,2+($H74-AO74-AP74)/$Q74,"Never"))))</f>
        <v/>
      </c>
      <c r="S74" s="39" t="str">
        <f>IF($C74="","",StockWeeks/52*$N74*(1-GrossMargin))</f>
        <v/>
      </c>
      <c r="U74" s="95">
        <f>IF(OR($C74="",U$21&lt;$B74),0,IF(U$21=$B74,OpenYearShare,1)*($N74*ContribMargin*IF(U$21=$B74,Ramp1,IF(U$21=$B74+1,Ramp2,1))-$P74-INDEX(LicByYear,AL74,U$21)))</f>
        <v>0</v>
      </c>
      <c r="V74" s="95">
        <f>IF(OR($C74="",V$21&lt;$B74),0,IF(V$21=$B74,OpenYearShare,1)*($N74*ContribMargin*IF(V$21=$B74,Ramp1,IF(V$21=$B74+1,Ramp2,1))-$P74-INDEX(LicByYear,AL74,V$21)))</f>
        <v>0</v>
      </c>
      <c r="W74" s="95">
        <f>IF(OR($C74="",W$21&lt;$B74),0,IF(W$21=$B74,OpenYearShare,1)*($N74*ContribMargin*IF(W$21=$B74,Ramp1,IF(W$21=$B74+1,Ramp2,1))-$P74-INDEX(LicByYear,AL74,W$21)))</f>
        <v>0</v>
      </c>
      <c r="X74" s="95">
        <f>IF(OR($C74="",X$21&lt;$B74),0,IF(X$21=$B74,OpenYearShare,1)*($N74*ContribMargin*IF(X$21=$B74,Ramp1,IF(X$21=$B74+1,Ramp2,1))-$P74-INDEX(LicByYear,AL74,X$21)))</f>
        <v>0</v>
      </c>
      <c r="Y74" s="95">
        <f>IF(OR($C74="",Y$21&lt;$B74),0,IF(Y$21=$B74,OpenYearShare,1)*($N74*ContribMargin*IF(Y$21=$B74,Ramp1,IF(Y$21=$B74+1,Ramp2,1))-$P74-INDEX(LicByYear,AL74,Y$21)))</f>
        <v>0</v>
      </c>
      <c r="Z74" s="95">
        <f>IF(OR($C74="",Z$21&lt;$B74),0,IF(Z$21=$B74,OpenYearShare,1)*($N74*ContribMargin*IF(Z$21=$B74,Ramp1,IF(Z$21=$B74+1,Ramp2,1))-$P74-INDEX(LicByYear,AL74,Z$21)))</f>
        <v>0</v>
      </c>
      <c r="AA74" s="95">
        <f>IF(OR($C74="",AA$21&lt;$B74),0,IF(AA$21=$B74,OpenYearShare,1)*($N74*ContribMargin*IF(AA$21=$B74,Ramp1,IF(AA$21=$B74+1,Ramp2,1))-$P74-INDEX(LicByYear,AL74,AA$21)))</f>
        <v>0</v>
      </c>
      <c r="AB74" s="95">
        <f>IF(OR($C74="",AB$21&lt;$B74),0,IF(AB$21=$B74,OpenYearShare,1)*($N74*ContribMargin*IF(AB$21=$B74,Ramp1,IF(AB$21=$B74+1,Ramp2,1))-$P74-INDEX(LicByYear,AL74,AB$21)))</f>
        <v>0</v>
      </c>
      <c r="AC74" s="95">
        <f>IF(OR($C74="",AC$21&lt;$B74),0,IF(AC$21=$B74,OpenYearShare,1)*($N74*ContribMargin*IF(AC$21=$B74,Ramp1,IF(AC$21=$B74+1,Ramp2,1))-$P74-INDEX(LicByYear,AL74,AC$21)))</f>
        <v>0</v>
      </c>
      <c r="AD74" s="95">
        <f>IF(OR($C74="",AD$21&lt;$B74),0,IF(AD$21=$B74,OpenYearShare,1)*($N74*ContribMargin*IF(AD$21=$B74,Ramp1,IF(AD$21=$B74+1,Ramp2,1))-$P74-INDEX(LicByYear,AL74,AD$21)))</f>
        <v>0</v>
      </c>
      <c r="AF74" s="82">
        <f>AF73+IF($C74="SPLUS",1,0)</f>
        <v>7</v>
      </c>
      <c r="AG74" s="82">
        <f>AG73+IF($C74="S",1,0)</f>
        <v>15</v>
      </c>
      <c r="AH74" s="82">
        <f>AH73+IF($C74="D",1,0)</f>
        <v>8</v>
      </c>
      <c r="AI74" s="105">
        <f>IF(OR($A74&gt;PlanStores,AF73&gt;=INDEX(Target,1)),-1000000000,INDEX(Target,1)*$A74-AF73*PlanStores)</f>
        <v>-1000000000</v>
      </c>
      <c r="AJ74" s="105">
        <f>IF(OR($A74&gt;PlanStores,AG73&gt;=INDEX(Target,2)),-1000000000,INDEX(Target,2)*$A74-AG73*PlanStores)</f>
        <v>-1000000000</v>
      </c>
      <c r="AK74" s="105">
        <f>IF(OR($A74&gt;PlanStores,AH73&gt;=INDEX(Target,3)),-1000000000,INDEX(Target,3)*$A74-AH73*PlanStores)</f>
        <v>-1000000000</v>
      </c>
      <c r="AL74" s="82" t="str">
        <f>IF($C74="","",MATCH($C74,TierCodes,0))</f>
        <v/>
      </c>
      <c r="AM74" s="82" t="str">
        <f>IF($C74="","",IF(OR(StreetChoice="Typical street for its size",INDEX(Cand,AL74)=0),"",MOD($D74-1,INDEX(Cand,AL74))+1))</f>
        <v/>
      </c>
      <c r="AN74" s="82" t="str">
        <f>IF(AM74="","",MATCH($C74&amp;"|"&amp;AM74,Melbourne!$AA$58:$AA$135,0))</f>
        <v/>
      </c>
      <c r="AO74" s="76" t="str">
        <f>IF($C74="","",Ramp1*$N74*ContribMargin-$P74-INDEX(LicPlan,AL74))</f>
        <v/>
      </c>
      <c r="AP74" s="76" t="str">
        <f>IF($C74="","",Ramp2*$N74*ContribMargin-$P74-INDEX(LicPlan,AL74))</f>
        <v/>
      </c>
      <c r="AR74" s="61" t="str">
        <f>IF($C74="","",MAX(Scale!$C$7,($D74+Scale!$C$8*($A74-$D74))^LOG(Scale!$C$6,2)))</f>
        <v/>
      </c>
      <c r="AS74" s="61" t="str">
        <f>IF($C74="","",1-IF(IF(Deal="Commit to the full plan",PlanStores,$A74)&gt;=PBAt4,Scale!$C$12,IF(IF(Deal="Commit to the full plan",PlanStores,$A74)&gt;=PBAt3,Scale!$C$11,IF(IF(Deal="Commit to the full plan",PlanStores,$A74)&gt;=PBAt2,Scale!$C$10,IF(IF(Deal="Commit to the full plan",PlanStores,$A74)&gt;=PBAt1,Scale!$C$9,0)))))</f>
        <v/>
      </c>
      <c r="AT74" s="61" t="str">
        <f>IF($C74="","",MAX(Scale!$D$7,($D74+Scale!$D$8*($A74-$D74))^LOG(Scale!$D$6,2)))</f>
        <v/>
      </c>
      <c r="AU74" s="61" t="str">
        <f>IF($C74="","",1-IF(IF(Deal="Commit to the full plan",PlanStores,$A74)&gt;=PBAt4,Scale!$D$12,IF(IF(Deal="Commit to the full plan",PlanStores,$A74)&gt;=PBAt3,Scale!$D$11,IF(IF(Deal="Commit to the full plan",PlanStores,$A74)&gt;=PBAt2,Scale!$D$10,IF(IF(Deal="Commit to the full plan",PlanStores,$A74)&gt;=PBAt1,Scale!$D$9,0)))))</f>
        <v/>
      </c>
      <c r="AV74" s="61" t="str">
        <f>IF($C74="","",MAX(Scale!$E$7,($D74+Scale!$E$8*($A74-$D74))^LOG(Scale!$E$6,2)))</f>
        <v/>
      </c>
      <c r="AW74" s="61" t="str">
        <f>IF($C74="","",1-IF(IF(Deal="Commit to the full plan",PlanStores,$A74)&gt;=PBAt4,Scale!$E$12,IF(IF(Deal="Commit to the full plan",PlanStores,$A74)&gt;=PBAt3,Scale!$E$11,IF(IF(Deal="Commit to the full plan",PlanStores,$A74)&gt;=PBAt2,Scale!$E$10,IF(IF(Deal="Commit to the full plan",PlanStores,$A74)&gt;=PBAt1,Scale!$E$9,0)))))</f>
        <v/>
      </c>
    </row>
    <row r="75">
      <c r="A75" s="110" t="n">
        <v>54</v>
      </c>
      <c r="B75" s="111" t="str">
        <f>IF($A75&gt;PlanStores,"",1+COUNTIF(CumOpenings,"&lt;"&amp;$A75))</f>
        <v/>
      </c>
      <c r="C75" s="14" t="str">
        <f>IF($A75&gt;PlanStores,"",IF(AND($A75=1,FlagshipFirst="Yes",INDEX(Target,1)&gt;0),"SPLUS",IF(AND(AI75&gt;=AJ75,AI75&gt;=AK75),"SPLUS",IF(AJ75&gt;=AK75,"S","D"))))</f>
        <v/>
      </c>
      <c r="D75" s="111" t="str">
        <f>IF($C75="","",IF($C75="SPLUS",AF75,IF($C75="S",AG75,AH75)))</f>
        <v/>
      </c>
      <c r="E75" s="112" t="str">
        <f>IF($C75="","",$D75+LearnShared*($A75-$D75))</f>
        <v/>
      </c>
      <c r="F75" s="85" t="str">
        <f>IF($C75="","",MAX(LearnFloor,$E75^LOG(LearnRate,2)))</f>
        <v/>
      </c>
      <c r="G75" s="85" t="str">
        <f>IF($C75="","",1-IF(IF(Deal="Commit to the full plan",PlanStores,$A75)&gt;=PBAt4,PBDisc4,IF(IF(Deal="Commit to the full plan",PlanStores,$A75)&gt;=PBAt3,PBDisc3,IF(IF(Deal="Commit to the full plan",PlanStores,$A75)&gt;=PBAt2,PBDisc2,IF(IF(Deal="Commit to the full plan",PlanStores,$A75)&gt;=PBAt1,PBDisc1,0)))))</f>
        <v/>
      </c>
      <c r="H75" s="39" t="str">
        <f>IF($C75="","",INDEX(BaseL,AL75)*$F75+INDEX(BaseV,AL75)*$G75+INDEX(BaseN,AL75))</f>
        <v/>
      </c>
      <c r="I75" s="39" t="str">
        <f>IF($C75="","",$H75*(1+BuildInflation)^($B75-1))</f>
        <v/>
      </c>
      <c r="J75" s="40" t="str">
        <f>IF($C75="","",IF(AN75="",IF(INDEX(Cand,AL75)=0,"No street of this size","Typical "&amp;LOWER(INDEX(TierNames,AL75))&amp;" street"),INDEX(Melbourne!$B$58:$B$135,AN75)))</f>
        <v/>
      </c>
      <c r="K75" s="40" t="str">
        <f>IF(OR($C75="",AN75=""),"",INDEX(Melbourne!$C$58:$C$135,AN75))</f>
        <v/>
      </c>
      <c r="L75" s="46" t="str">
        <f>IF($C75="","",IF(AN75="",INDEX(TypicalF,AL75),INDEX(Melbourne!$E$58:$E$135,AN75)))</f>
        <v/>
      </c>
      <c r="M75" s="86" t="str">
        <f>IF($C75="","",IF(AN75="",INDEX(TypicalQ,AL75),INDEX(Melbourne!$N$58:$N$135,AN75)))</f>
        <v/>
      </c>
      <c r="N75" s="39" t="str">
        <f>IF($C75="","",MIN($L75*Capture*$M75*Conversion*Ticket,INDEX(CapacityPsf,AL75)*INDEX(Area,AL75)))</f>
        <v/>
      </c>
      <c r="O75" s="39" t="str">
        <f>IF($C75="","",INDEX(Area,AL75)*RentPsf*($L75/Fref)^RentElasticity)</f>
        <v/>
      </c>
      <c r="P75" s="39" t="str">
        <f>IF($C75="","",$O75+INDEX(RunOther,AL75))</f>
        <v/>
      </c>
      <c r="Q75" s="95" t="str">
        <f>IF($C75="","",$N75*ContribMargin-$P75-INDEX(LicPlan,AL75))</f>
        <v/>
      </c>
      <c r="R75" s="113" t="str">
        <f>IF($C75="","",IF(AND(AO75&gt;=$H75,AO75&gt;0),$H75/AO75,IF(AND(AO75+AP75&gt;=$H75,AP75&gt;0),1+($H75-AO75)/AP75,IF($Q75&gt;0,2+($H75-AO75-AP75)/$Q75,"Never"))))</f>
        <v/>
      </c>
      <c r="S75" s="39" t="str">
        <f>IF($C75="","",StockWeeks/52*$N75*(1-GrossMargin))</f>
        <v/>
      </c>
      <c r="U75" s="95">
        <f>IF(OR($C75="",U$21&lt;$B75),0,IF(U$21=$B75,OpenYearShare,1)*($N75*ContribMargin*IF(U$21=$B75,Ramp1,IF(U$21=$B75+1,Ramp2,1))-$P75-INDEX(LicByYear,AL75,U$21)))</f>
        <v>0</v>
      </c>
      <c r="V75" s="95">
        <f>IF(OR($C75="",V$21&lt;$B75),0,IF(V$21=$B75,OpenYearShare,1)*($N75*ContribMargin*IF(V$21=$B75,Ramp1,IF(V$21=$B75+1,Ramp2,1))-$P75-INDEX(LicByYear,AL75,V$21)))</f>
        <v>0</v>
      </c>
      <c r="W75" s="95">
        <f>IF(OR($C75="",W$21&lt;$B75),0,IF(W$21=$B75,OpenYearShare,1)*($N75*ContribMargin*IF(W$21=$B75,Ramp1,IF(W$21=$B75+1,Ramp2,1))-$P75-INDEX(LicByYear,AL75,W$21)))</f>
        <v>0</v>
      </c>
      <c r="X75" s="95">
        <f>IF(OR($C75="",X$21&lt;$B75),0,IF(X$21=$B75,OpenYearShare,1)*($N75*ContribMargin*IF(X$21=$B75,Ramp1,IF(X$21=$B75+1,Ramp2,1))-$P75-INDEX(LicByYear,AL75,X$21)))</f>
        <v>0</v>
      </c>
      <c r="Y75" s="95">
        <f>IF(OR($C75="",Y$21&lt;$B75),0,IF(Y$21=$B75,OpenYearShare,1)*($N75*ContribMargin*IF(Y$21=$B75,Ramp1,IF(Y$21=$B75+1,Ramp2,1))-$P75-INDEX(LicByYear,AL75,Y$21)))</f>
        <v>0</v>
      </c>
      <c r="Z75" s="95">
        <f>IF(OR($C75="",Z$21&lt;$B75),0,IF(Z$21=$B75,OpenYearShare,1)*($N75*ContribMargin*IF(Z$21=$B75,Ramp1,IF(Z$21=$B75+1,Ramp2,1))-$P75-INDEX(LicByYear,AL75,Z$21)))</f>
        <v>0</v>
      </c>
      <c r="AA75" s="95">
        <f>IF(OR($C75="",AA$21&lt;$B75),0,IF(AA$21=$B75,OpenYearShare,1)*($N75*ContribMargin*IF(AA$21=$B75,Ramp1,IF(AA$21=$B75+1,Ramp2,1))-$P75-INDEX(LicByYear,AL75,AA$21)))</f>
        <v>0</v>
      </c>
      <c r="AB75" s="95">
        <f>IF(OR($C75="",AB$21&lt;$B75),0,IF(AB$21=$B75,OpenYearShare,1)*($N75*ContribMargin*IF(AB$21=$B75,Ramp1,IF(AB$21=$B75+1,Ramp2,1))-$P75-INDEX(LicByYear,AL75,AB$21)))</f>
        <v>0</v>
      </c>
      <c r="AC75" s="95">
        <f>IF(OR($C75="",AC$21&lt;$B75),0,IF(AC$21=$B75,OpenYearShare,1)*($N75*ContribMargin*IF(AC$21=$B75,Ramp1,IF(AC$21=$B75+1,Ramp2,1))-$P75-INDEX(LicByYear,AL75,AC$21)))</f>
        <v>0</v>
      </c>
      <c r="AD75" s="95">
        <f>IF(OR($C75="",AD$21&lt;$B75),0,IF(AD$21=$B75,OpenYearShare,1)*($N75*ContribMargin*IF(AD$21=$B75,Ramp1,IF(AD$21=$B75+1,Ramp2,1))-$P75-INDEX(LicByYear,AL75,AD$21)))</f>
        <v>0</v>
      </c>
      <c r="AF75" s="82">
        <f>AF74+IF($C75="SPLUS",1,0)</f>
        <v>7</v>
      </c>
      <c r="AG75" s="82">
        <f>AG74+IF($C75="S",1,0)</f>
        <v>15</v>
      </c>
      <c r="AH75" s="82">
        <f>AH74+IF($C75="D",1,0)</f>
        <v>8</v>
      </c>
      <c r="AI75" s="105">
        <f>IF(OR($A75&gt;PlanStores,AF74&gt;=INDEX(Target,1)),-1000000000,INDEX(Target,1)*$A75-AF74*PlanStores)</f>
        <v>-1000000000</v>
      </c>
      <c r="AJ75" s="105">
        <f>IF(OR($A75&gt;PlanStores,AG74&gt;=INDEX(Target,2)),-1000000000,INDEX(Target,2)*$A75-AG74*PlanStores)</f>
        <v>-1000000000</v>
      </c>
      <c r="AK75" s="105">
        <f>IF(OR($A75&gt;PlanStores,AH74&gt;=INDEX(Target,3)),-1000000000,INDEX(Target,3)*$A75-AH74*PlanStores)</f>
        <v>-1000000000</v>
      </c>
      <c r="AL75" s="82" t="str">
        <f>IF($C75="","",MATCH($C75,TierCodes,0))</f>
        <v/>
      </c>
      <c r="AM75" s="82" t="str">
        <f>IF($C75="","",IF(OR(StreetChoice="Typical street for its size",INDEX(Cand,AL75)=0),"",MOD($D75-1,INDEX(Cand,AL75))+1))</f>
        <v/>
      </c>
      <c r="AN75" s="82" t="str">
        <f>IF(AM75="","",MATCH($C75&amp;"|"&amp;AM75,Melbourne!$AA$58:$AA$135,0))</f>
        <v/>
      </c>
      <c r="AO75" s="76" t="str">
        <f>IF($C75="","",Ramp1*$N75*ContribMargin-$P75-INDEX(LicPlan,AL75))</f>
        <v/>
      </c>
      <c r="AP75" s="76" t="str">
        <f>IF($C75="","",Ramp2*$N75*ContribMargin-$P75-INDEX(LicPlan,AL75))</f>
        <v/>
      </c>
      <c r="AR75" s="61" t="str">
        <f>IF($C75="","",MAX(Scale!$C$7,($D75+Scale!$C$8*($A75-$D75))^LOG(Scale!$C$6,2)))</f>
        <v/>
      </c>
      <c r="AS75" s="61" t="str">
        <f>IF($C75="","",1-IF(IF(Deal="Commit to the full plan",PlanStores,$A75)&gt;=PBAt4,Scale!$C$12,IF(IF(Deal="Commit to the full plan",PlanStores,$A75)&gt;=PBAt3,Scale!$C$11,IF(IF(Deal="Commit to the full plan",PlanStores,$A75)&gt;=PBAt2,Scale!$C$10,IF(IF(Deal="Commit to the full plan",PlanStores,$A75)&gt;=PBAt1,Scale!$C$9,0)))))</f>
        <v/>
      </c>
      <c r="AT75" s="61" t="str">
        <f>IF($C75="","",MAX(Scale!$D$7,($D75+Scale!$D$8*($A75-$D75))^LOG(Scale!$D$6,2)))</f>
        <v/>
      </c>
      <c r="AU75" s="61" t="str">
        <f>IF($C75="","",1-IF(IF(Deal="Commit to the full plan",PlanStores,$A75)&gt;=PBAt4,Scale!$D$12,IF(IF(Deal="Commit to the full plan",PlanStores,$A75)&gt;=PBAt3,Scale!$D$11,IF(IF(Deal="Commit to the full plan",PlanStores,$A75)&gt;=PBAt2,Scale!$D$10,IF(IF(Deal="Commit to the full plan",PlanStores,$A75)&gt;=PBAt1,Scale!$D$9,0)))))</f>
        <v/>
      </c>
      <c r="AV75" s="61" t="str">
        <f>IF($C75="","",MAX(Scale!$E$7,($D75+Scale!$E$8*($A75-$D75))^LOG(Scale!$E$6,2)))</f>
        <v/>
      </c>
      <c r="AW75" s="61" t="str">
        <f>IF($C75="","",1-IF(IF(Deal="Commit to the full plan",PlanStores,$A75)&gt;=PBAt4,Scale!$E$12,IF(IF(Deal="Commit to the full plan",PlanStores,$A75)&gt;=PBAt3,Scale!$E$11,IF(IF(Deal="Commit to the full plan",PlanStores,$A75)&gt;=PBAt2,Scale!$E$10,IF(IF(Deal="Commit to the full plan",PlanStores,$A75)&gt;=PBAt1,Scale!$E$9,0)))))</f>
        <v/>
      </c>
    </row>
    <row r="76">
      <c r="A76" s="110" t="n">
        <v>55</v>
      </c>
      <c r="B76" s="111" t="str">
        <f>IF($A76&gt;PlanStores,"",1+COUNTIF(CumOpenings,"&lt;"&amp;$A76))</f>
        <v/>
      </c>
      <c r="C76" s="14" t="str">
        <f>IF($A76&gt;PlanStores,"",IF(AND($A76=1,FlagshipFirst="Yes",INDEX(Target,1)&gt;0),"SPLUS",IF(AND(AI76&gt;=AJ76,AI76&gt;=AK76),"SPLUS",IF(AJ76&gt;=AK76,"S","D"))))</f>
        <v/>
      </c>
      <c r="D76" s="111" t="str">
        <f>IF($C76="","",IF($C76="SPLUS",AF76,IF($C76="S",AG76,AH76)))</f>
        <v/>
      </c>
      <c r="E76" s="112" t="str">
        <f>IF($C76="","",$D76+LearnShared*($A76-$D76))</f>
        <v/>
      </c>
      <c r="F76" s="85" t="str">
        <f>IF($C76="","",MAX(LearnFloor,$E76^LOG(LearnRate,2)))</f>
        <v/>
      </c>
      <c r="G76" s="85" t="str">
        <f>IF($C76="","",1-IF(IF(Deal="Commit to the full plan",PlanStores,$A76)&gt;=PBAt4,PBDisc4,IF(IF(Deal="Commit to the full plan",PlanStores,$A76)&gt;=PBAt3,PBDisc3,IF(IF(Deal="Commit to the full plan",PlanStores,$A76)&gt;=PBAt2,PBDisc2,IF(IF(Deal="Commit to the full plan",PlanStores,$A76)&gt;=PBAt1,PBDisc1,0)))))</f>
        <v/>
      </c>
      <c r="H76" s="39" t="str">
        <f>IF($C76="","",INDEX(BaseL,AL76)*$F76+INDEX(BaseV,AL76)*$G76+INDEX(BaseN,AL76))</f>
        <v/>
      </c>
      <c r="I76" s="39" t="str">
        <f>IF($C76="","",$H76*(1+BuildInflation)^($B76-1))</f>
        <v/>
      </c>
      <c r="J76" s="40" t="str">
        <f>IF($C76="","",IF(AN76="",IF(INDEX(Cand,AL76)=0,"No street of this size","Typical "&amp;LOWER(INDEX(TierNames,AL76))&amp;" street"),INDEX(Melbourne!$B$58:$B$135,AN76)))</f>
        <v/>
      </c>
      <c r="K76" s="40" t="str">
        <f>IF(OR($C76="",AN76=""),"",INDEX(Melbourne!$C$58:$C$135,AN76))</f>
        <v/>
      </c>
      <c r="L76" s="46" t="str">
        <f>IF($C76="","",IF(AN76="",INDEX(TypicalF,AL76),INDEX(Melbourne!$E$58:$E$135,AN76)))</f>
        <v/>
      </c>
      <c r="M76" s="86" t="str">
        <f>IF($C76="","",IF(AN76="",INDEX(TypicalQ,AL76),INDEX(Melbourne!$N$58:$N$135,AN76)))</f>
        <v/>
      </c>
      <c r="N76" s="39" t="str">
        <f>IF($C76="","",MIN($L76*Capture*$M76*Conversion*Ticket,INDEX(CapacityPsf,AL76)*INDEX(Area,AL76)))</f>
        <v/>
      </c>
      <c r="O76" s="39" t="str">
        <f>IF($C76="","",INDEX(Area,AL76)*RentPsf*($L76/Fref)^RentElasticity)</f>
        <v/>
      </c>
      <c r="P76" s="39" t="str">
        <f>IF($C76="","",$O76+INDEX(RunOther,AL76))</f>
        <v/>
      </c>
      <c r="Q76" s="95" t="str">
        <f>IF($C76="","",$N76*ContribMargin-$P76-INDEX(LicPlan,AL76))</f>
        <v/>
      </c>
      <c r="R76" s="113" t="str">
        <f>IF($C76="","",IF(AND(AO76&gt;=$H76,AO76&gt;0),$H76/AO76,IF(AND(AO76+AP76&gt;=$H76,AP76&gt;0),1+($H76-AO76)/AP76,IF($Q76&gt;0,2+($H76-AO76-AP76)/$Q76,"Never"))))</f>
        <v/>
      </c>
      <c r="S76" s="39" t="str">
        <f>IF($C76="","",StockWeeks/52*$N76*(1-GrossMargin))</f>
        <v/>
      </c>
      <c r="U76" s="95">
        <f>IF(OR($C76="",U$21&lt;$B76),0,IF(U$21=$B76,OpenYearShare,1)*($N76*ContribMargin*IF(U$21=$B76,Ramp1,IF(U$21=$B76+1,Ramp2,1))-$P76-INDEX(LicByYear,AL76,U$21)))</f>
        <v>0</v>
      </c>
      <c r="V76" s="95">
        <f>IF(OR($C76="",V$21&lt;$B76),0,IF(V$21=$B76,OpenYearShare,1)*($N76*ContribMargin*IF(V$21=$B76,Ramp1,IF(V$21=$B76+1,Ramp2,1))-$P76-INDEX(LicByYear,AL76,V$21)))</f>
        <v>0</v>
      </c>
      <c r="W76" s="95">
        <f>IF(OR($C76="",W$21&lt;$B76),0,IF(W$21=$B76,OpenYearShare,1)*($N76*ContribMargin*IF(W$21=$B76,Ramp1,IF(W$21=$B76+1,Ramp2,1))-$P76-INDEX(LicByYear,AL76,W$21)))</f>
        <v>0</v>
      </c>
      <c r="X76" s="95">
        <f>IF(OR($C76="",X$21&lt;$B76),0,IF(X$21=$B76,OpenYearShare,1)*($N76*ContribMargin*IF(X$21=$B76,Ramp1,IF(X$21=$B76+1,Ramp2,1))-$P76-INDEX(LicByYear,AL76,X$21)))</f>
        <v>0</v>
      </c>
      <c r="Y76" s="95">
        <f>IF(OR($C76="",Y$21&lt;$B76),0,IF(Y$21=$B76,OpenYearShare,1)*($N76*ContribMargin*IF(Y$21=$B76,Ramp1,IF(Y$21=$B76+1,Ramp2,1))-$P76-INDEX(LicByYear,AL76,Y$21)))</f>
        <v>0</v>
      </c>
      <c r="Z76" s="95">
        <f>IF(OR($C76="",Z$21&lt;$B76),0,IF(Z$21=$B76,OpenYearShare,1)*($N76*ContribMargin*IF(Z$21=$B76,Ramp1,IF(Z$21=$B76+1,Ramp2,1))-$P76-INDEX(LicByYear,AL76,Z$21)))</f>
        <v>0</v>
      </c>
      <c r="AA76" s="95">
        <f>IF(OR($C76="",AA$21&lt;$B76),0,IF(AA$21=$B76,OpenYearShare,1)*($N76*ContribMargin*IF(AA$21=$B76,Ramp1,IF(AA$21=$B76+1,Ramp2,1))-$P76-INDEX(LicByYear,AL76,AA$21)))</f>
        <v>0</v>
      </c>
      <c r="AB76" s="95">
        <f>IF(OR($C76="",AB$21&lt;$B76),0,IF(AB$21=$B76,OpenYearShare,1)*($N76*ContribMargin*IF(AB$21=$B76,Ramp1,IF(AB$21=$B76+1,Ramp2,1))-$P76-INDEX(LicByYear,AL76,AB$21)))</f>
        <v>0</v>
      </c>
      <c r="AC76" s="95">
        <f>IF(OR($C76="",AC$21&lt;$B76),0,IF(AC$21=$B76,OpenYearShare,1)*($N76*ContribMargin*IF(AC$21=$B76,Ramp1,IF(AC$21=$B76+1,Ramp2,1))-$P76-INDEX(LicByYear,AL76,AC$21)))</f>
        <v>0</v>
      </c>
      <c r="AD76" s="95">
        <f>IF(OR($C76="",AD$21&lt;$B76),0,IF(AD$21=$B76,OpenYearShare,1)*($N76*ContribMargin*IF(AD$21=$B76,Ramp1,IF(AD$21=$B76+1,Ramp2,1))-$P76-INDEX(LicByYear,AL76,AD$21)))</f>
        <v>0</v>
      </c>
      <c r="AF76" s="82">
        <f>AF75+IF($C76="SPLUS",1,0)</f>
        <v>7</v>
      </c>
      <c r="AG76" s="82">
        <f>AG75+IF($C76="S",1,0)</f>
        <v>15</v>
      </c>
      <c r="AH76" s="82">
        <f>AH75+IF($C76="D",1,0)</f>
        <v>8</v>
      </c>
      <c r="AI76" s="105">
        <f>IF(OR($A76&gt;PlanStores,AF75&gt;=INDEX(Target,1)),-1000000000,INDEX(Target,1)*$A76-AF75*PlanStores)</f>
        <v>-1000000000</v>
      </c>
      <c r="AJ76" s="105">
        <f>IF(OR($A76&gt;PlanStores,AG75&gt;=INDEX(Target,2)),-1000000000,INDEX(Target,2)*$A76-AG75*PlanStores)</f>
        <v>-1000000000</v>
      </c>
      <c r="AK76" s="105">
        <f>IF(OR($A76&gt;PlanStores,AH75&gt;=INDEX(Target,3)),-1000000000,INDEX(Target,3)*$A76-AH75*PlanStores)</f>
        <v>-1000000000</v>
      </c>
      <c r="AL76" s="82" t="str">
        <f>IF($C76="","",MATCH($C76,TierCodes,0))</f>
        <v/>
      </c>
      <c r="AM76" s="82" t="str">
        <f>IF($C76="","",IF(OR(StreetChoice="Typical street for its size",INDEX(Cand,AL76)=0),"",MOD($D76-1,INDEX(Cand,AL76))+1))</f>
        <v/>
      </c>
      <c r="AN76" s="82" t="str">
        <f>IF(AM76="","",MATCH($C76&amp;"|"&amp;AM76,Melbourne!$AA$58:$AA$135,0))</f>
        <v/>
      </c>
      <c r="AO76" s="76" t="str">
        <f>IF($C76="","",Ramp1*$N76*ContribMargin-$P76-INDEX(LicPlan,AL76))</f>
        <v/>
      </c>
      <c r="AP76" s="76" t="str">
        <f>IF($C76="","",Ramp2*$N76*ContribMargin-$P76-INDEX(LicPlan,AL76))</f>
        <v/>
      </c>
      <c r="AR76" s="61" t="str">
        <f>IF($C76="","",MAX(Scale!$C$7,($D76+Scale!$C$8*($A76-$D76))^LOG(Scale!$C$6,2)))</f>
        <v/>
      </c>
      <c r="AS76" s="61" t="str">
        <f>IF($C76="","",1-IF(IF(Deal="Commit to the full plan",PlanStores,$A76)&gt;=PBAt4,Scale!$C$12,IF(IF(Deal="Commit to the full plan",PlanStores,$A76)&gt;=PBAt3,Scale!$C$11,IF(IF(Deal="Commit to the full plan",PlanStores,$A76)&gt;=PBAt2,Scale!$C$10,IF(IF(Deal="Commit to the full plan",PlanStores,$A76)&gt;=PBAt1,Scale!$C$9,0)))))</f>
        <v/>
      </c>
      <c r="AT76" s="61" t="str">
        <f>IF($C76="","",MAX(Scale!$D$7,($D76+Scale!$D$8*($A76-$D76))^LOG(Scale!$D$6,2)))</f>
        <v/>
      </c>
      <c r="AU76" s="61" t="str">
        <f>IF($C76="","",1-IF(IF(Deal="Commit to the full plan",PlanStores,$A76)&gt;=PBAt4,Scale!$D$12,IF(IF(Deal="Commit to the full plan",PlanStores,$A76)&gt;=PBAt3,Scale!$D$11,IF(IF(Deal="Commit to the full plan",PlanStores,$A76)&gt;=PBAt2,Scale!$D$10,IF(IF(Deal="Commit to the full plan",PlanStores,$A76)&gt;=PBAt1,Scale!$D$9,0)))))</f>
        <v/>
      </c>
      <c r="AV76" s="61" t="str">
        <f>IF($C76="","",MAX(Scale!$E$7,($D76+Scale!$E$8*($A76-$D76))^LOG(Scale!$E$6,2)))</f>
        <v/>
      </c>
      <c r="AW76" s="61" t="str">
        <f>IF($C76="","",1-IF(IF(Deal="Commit to the full plan",PlanStores,$A76)&gt;=PBAt4,Scale!$E$12,IF(IF(Deal="Commit to the full plan",PlanStores,$A76)&gt;=PBAt3,Scale!$E$11,IF(IF(Deal="Commit to the full plan",PlanStores,$A76)&gt;=PBAt2,Scale!$E$10,IF(IF(Deal="Commit to the full plan",PlanStores,$A76)&gt;=PBAt1,Scale!$E$9,0)))))</f>
        <v/>
      </c>
    </row>
    <row r="77">
      <c r="A77" s="110" t="n">
        <v>56</v>
      </c>
      <c r="B77" s="111" t="str">
        <f>IF($A77&gt;PlanStores,"",1+COUNTIF(CumOpenings,"&lt;"&amp;$A77))</f>
        <v/>
      </c>
      <c r="C77" s="14" t="str">
        <f>IF($A77&gt;PlanStores,"",IF(AND($A77=1,FlagshipFirst="Yes",INDEX(Target,1)&gt;0),"SPLUS",IF(AND(AI77&gt;=AJ77,AI77&gt;=AK77),"SPLUS",IF(AJ77&gt;=AK77,"S","D"))))</f>
        <v/>
      </c>
      <c r="D77" s="111" t="str">
        <f>IF($C77="","",IF($C77="SPLUS",AF77,IF($C77="S",AG77,AH77)))</f>
        <v/>
      </c>
      <c r="E77" s="112" t="str">
        <f>IF($C77="","",$D77+LearnShared*($A77-$D77))</f>
        <v/>
      </c>
      <c r="F77" s="85" t="str">
        <f>IF($C77="","",MAX(LearnFloor,$E77^LOG(LearnRate,2)))</f>
        <v/>
      </c>
      <c r="G77" s="85" t="str">
        <f>IF($C77="","",1-IF(IF(Deal="Commit to the full plan",PlanStores,$A77)&gt;=PBAt4,PBDisc4,IF(IF(Deal="Commit to the full plan",PlanStores,$A77)&gt;=PBAt3,PBDisc3,IF(IF(Deal="Commit to the full plan",PlanStores,$A77)&gt;=PBAt2,PBDisc2,IF(IF(Deal="Commit to the full plan",PlanStores,$A77)&gt;=PBAt1,PBDisc1,0)))))</f>
        <v/>
      </c>
      <c r="H77" s="39" t="str">
        <f>IF($C77="","",INDEX(BaseL,AL77)*$F77+INDEX(BaseV,AL77)*$G77+INDEX(BaseN,AL77))</f>
        <v/>
      </c>
      <c r="I77" s="39" t="str">
        <f>IF($C77="","",$H77*(1+BuildInflation)^($B77-1))</f>
        <v/>
      </c>
      <c r="J77" s="40" t="str">
        <f>IF($C77="","",IF(AN77="",IF(INDEX(Cand,AL77)=0,"No street of this size","Typical "&amp;LOWER(INDEX(TierNames,AL77))&amp;" street"),INDEX(Melbourne!$B$58:$B$135,AN77)))</f>
        <v/>
      </c>
      <c r="K77" s="40" t="str">
        <f>IF(OR($C77="",AN77=""),"",INDEX(Melbourne!$C$58:$C$135,AN77))</f>
        <v/>
      </c>
      <c r="L77" s="46" t="str">
        <f>IF($C77="","",IF(AN77="",INDEX(TypicalF,AL77),INDEX(Melbourne!$E$58:$E$135,AN77)))</f>
        <v/>
      </c>
      <c r="M77" s="86" t="str">
        <f>IF($C77="","",IF(AN77="",INDEX(TypicalQ,AL77),INDEX(Melbourne!$N$58:$N$135,AN77)))</f>
        <v/>
      </c>
      <c r="N77" s="39" t="str">
        <f>IF($C77="","",MIN($L77*Capture*$M77*Conversion*Ticket,INDEX(CapacityPsf,AL77)*INDEX(Area,AL77)))</f>
        <v/>
      </c>
      <c r="O77" s="39" t="str">
        <f>IF($C77="","",INDEX(Area,AL77)*RentPsf*($L77/Fref)^RentElasticity)</f>
        <v/>
      </c>
      <c r="P77" s="39" t="str">
        <f>IF($C77="","",$O77+INDEX(RunOther,AL77))</f>
        <v/>
      </c>
      <c r="Q77" s="95" t="str">
        <f>IF($C77="","",$N77*ContribMargin-$P77-INDEX(LicPlan,AL77))</f>
        <v/>
      </c>
      <c r="R77" s="113" t="str">
        <f>IF($C77="","",IF(AND(AO77&gt;=$H77,AO77&gt;0),$H77/AO77,IF(AND(AO77+AP77&gt;=$H77,AP77&gt;0),1+($H77-AO77)/AP77,IF($Q77&gt;0,2+($H77-AO77-AP77)/$Q77,"Never"))))</f>
        <v/>
      </c>
      <c r="S77" s="39" t="str">
        <f>IF($C77="","",StockWeeks/52*$N77*(1-GrossMargin))</f>
        <v/>
      </c>
      <c r="U77" s="95">
        <f>IF(OR($C77="",U$21&lt;$B77),0,IF(U$21=$B77,OpenYearShare,1)*($N77*ContribMargin*IF(U$21=$B77,Ramp1,IF(U$21=$B77+1,Ramp2,1))-$P77-INDEX(LicByYear,AL77,U$21)))</f>
        <v>0</v>
      </c>
      <c r="V77" s="95">
        <f>IF(OR($C77="",V$21&lt;$B77),0,IF(V$21=$B77,OpenYearShare,1)*($N77*ContribMargin*IF(V$21=$B77,Ramp1,IF(V$21=$B77+1,Ramp2,1))-$P77-INDEX(LicByYear,AL77,V$21)))</f>
        <v>0</v>
      </c>
      <c r="W77" s="95">
        <f>IF(OR($C77="",W$21&lt;$B77),0,IF(W$21=$B77,OpenYearShare,1)*($N77*ContribMargin*IF(W$21=$B77,Ramp1,IF(W$21=$B77+1,Ramp2,1))-$P77-INDEX(LicByYear,AL77,W$21)))</f>
        <v>0</v>
      </c>
      <c r="X77" s="95">
        <f>IF(OR($C77="",X$21&lt;$B77),0,IF(X$21=$B77,OpenYearShare,1)*($N77*ContribMargin*IF(X$21=$B77,Ramp1,IF(X$21=$B77+1,Ramp2,1))-$P77-INDEX(LicByYear,AL77,X$21)))</f>
        <v>0</v>
      </c>
      <c r="Y77" s="95">
        <f>IF(OR($C77="",Y$21&lt;$B77),0,IF(Y$21=$B77,OpenYearShare,1)*($N77*ContribMargin*IF(Y$21=$B77,Ramp1,IF(Y$21=$B77+1,Ramp2,1))-$P77-INDEX(LicByYear,AL77,Y$21)))</f>
        <v>0</v>
      </c>
      <c r="Z77" s="95">
        <f>IF(OR($C77="",Z$21&lt;$B77),0,IF(Z$21=$B77,OpenYearShare,1)*($N77*ContribMargin*IF(Z$21=$B77,Ramp1,IF(Z$21=$B77+1,Ramp2,1))-$P77-INDEX(LicByYear,AL77,Z$21)))</f>
        <v>0</v>
      </c>
      <c r="AA77" s="95">
        <f>IF(OR($C77="",AA$21&lt;$B77),0,IF(AA$21=$B77,OpenYearShare,1)*($N77*ContribMargin*IF(AA$21=$B77,Ramp1,IF(AA$21=$B77+1,Ramp2,1))-$P77-INDEX(LicByYear,AL77,AA$21)))</f>
        <v>0</v>
      </c>
      <c r="AB77" s="95">
        <f>IF(OR($C77="",AB$21&lt;$B77),0,IF(AB$21=$B77,OpenYearShare,1)*($N77*ContribMargin*IF(AB$21=$B77,Ramp1,IF(AB$21=$B77+1,Ramp2,1))-$P77-INDEX(LicByYear,AL77,AB$21)))</f>
        <v>0</v>
      </c>
      <c r="AC77" s="95">
        <f>IF(OR($C77="",AC$21&lt;$B77),0,IF(AC$21=$B77,OpenYearShare,1)*($N77*ContribMargin*IF(AC$21=$B77,Ramp1,IF(AC$21=$B77+1,Ramp2,1))-$P77-INDEX(LicByYear,AL77,AC$21)))</f>
        <v>0</v>
      </c>
      <c r="AD77" s="95">
        <f>IF(OR($C77="",AD$21&lt;$B77),0,IF(AD$21=$B77,OpenYearShare,1)*($N77*ContribMargin*IF(AD$21=$B77,Ramp1,IF(AD$21=$B77+1,Ramp2,1))-$P77-INDEX(LicByYear,AL77,AD$21)))</f>
        <v>0</v>
      </c>
      <c r="AF77" s="82">
        <f>AF76+IF($C77="SPLUS",1,0)</f>
        <v>7</v>
      </c>
      <c r="AG77" s="82">
        <f>AG76+IF($C77="S",1,0)</f>
        <v>15</v>
      </c>
      <c r="AH77" s="82">
        <f>AH76+IF($C77="D",1,0)</f>
        <v>8</v>
      </c>
      <c r="AI77" s="105">
        <f>IF(OR($A77&gt;PlanStores,AF76&gt;=INDEX(Target,1)),-1000000000,INDEX(Target,1)*$A77-AF76*PlanStores)</f>
        <v>-1000000000</v>
      </c>
      <c r="AJ77" s="105">
        <f>IF(OR($A77&gt;PlanStores,AG76&gt;=INDEX(Target,2)),-1000000000,INDEX(Target,2)*$A77-AG76*PlanStores)</f>
        <v>-1000000000</v>
      </c>
      <c r="AK77" s="105">
        <f>IF(OR($A77&gt;PlanStores,AH76&gt;=INDEX(Target,3)),-1000000000,INDEX(Target,3)*$A77-AH76*PlanStores)</f>
        <v>-1000000000</v>
      </c>
      <c r="AL77" s="82" t="str">
        <f>IF($C77="","",MATCH($C77,TierCodes,0))</f>
        <v/>
      </c>
      <c r="AM77" s="82" t="str">
        <f>IF($C77="","",IF(OR(StreetChoice="Typical street for its size",INDEX(Cand,AL77)=0),"",MOD($D77-1,INDEX(Cand,AL77))+1))</f>
        <v/>
      </c>
      <c r="AN77" s="82" t="str">
        <f>IF(AM77="","",MATCH($C77&amp;"|"&amp;AM77,Melbourne!$AA$58:$AA$135,0))</f>
        <v/>
      </c>
      <c r="AO77" s="76" t="str">
        <f>IF($C77="","",Ramp1*$N77*ContribMargin-$P77-INDEX(LicPlan,AL77))</f>
        <v/>
      </c>
      <c r="AP77" s="76" t="str">
        <f>IF($C77="","",Ramp2*$N77*ContribMargin-$P77-INDEX(LicPlan,AL77))</f>
        <v/>
      </c>
      <c r="AR77" s="61" t="str">
        <f>IF($C77="","",MAX(Scale!$C$7,($D77+Scale!$C$8*($A77-$D77))^LOG(Scale!$C$6,2)))</f>
        <v/>
      </c>
      <c r="AS77" s="61" t="str">
        <f>IF($C77="","",1-IF(IF(Deal="Commit to the full plan",PlanStores,$A77)&gt;=PBAt4,Scale!$C$12,IF(IF(Deal="Commit to the full plan",PlanStores,$A77)&gt;=PBAt3,Scale!$C$11,IF(IF(Deal="Commit to the full plan",PlanStores,$A77)&gt;=PBAt2,Scale!$C$10,IF(IF(Deal="Commit to the full plan",PlanStores,$A77)&gt;=PBAt1,Scale!$C$9,0)))))</f>
        <v/>
      </c>
      <c r="AT77" s="61" t="str">
        <f>IF($C77="","",MAX(Scale!$D$7,($D77+Scale!$D$8*($A77-$D77))^LOG(Scale!$D$6,2)))</f>
        <v/>
      </c>
      <c r="AU77" s="61" t="str">
        <f>IF($C77="","",1-IF(IF(Deal="Commit to the full plan",PlanStores,$A77)&gt;=PBAt4,Scale!$D$12,IF(IF(Deal="Commit to the full plan",PlanStores,$A77)&gt;=PBAt3,Scale!$D$11,IF(IF(Deal="Commit to the full plan",PlanStores,$A77)&gt;=PBAt2,Scale!$D$10,IF(IF(Deal="Commit to the full plan",PlanStores,$A77)&gt;=PBAt1,Scale!$D$9,0)))))</f>
        <v/>
      </c>
      <c r="AV77" s="61" t="str">
        <f>IF($C77="","",MAX(Scale!$E$7,($D77+Scale!$E$8*($A77-$D77))^LOG(Scale!$E$6,2)))</f>
        <v/>
      </c>
      <c r="AW77" s="61" t="str">
        <f>IF($C77="","",1-IF(IF(Deal="Commit to the full plan",PlanStores,$A77)&gt;=PBAt4,Scale!$E$12,IF(IF(Deal="Commit to the full plan",PlanStores,$A77)&gt;=PBAt3,Scale!$E$11,IF(IF(Deal="Commit to the full plan",PlanStores,$A77)&gt;=PBAt2,Scale!$E$10,IF(IF(Deal="Commit to the full plan",PlanStores,$A77)&gt;=PBAt1,Scale!$E$9,0)))))</f>
        <v/>
      </c>
    </row>
    <row r="78">
      <c r="A78" s="110" t="n">
        <v>57</v>
      </c>
      <c r="B78" s="111" t="str">
        <f>IF($A78&gt;PlanStores,"",1+COUNTIF(CumOpenings,"&lt;"&amp;$A78))</f>
        <v/>
      </c>
      <c r="C78" s="14" t="str">
        <f>IF($A78&gt;PlanStores,"",IF(AND($A78=1,FlagshipFirst="Yes",INDEX(Target,1)&gt;0),"SPLUS",IF(AND(AI78&gt;=AJ78,AI78&gt;=AK78),"SPLUS",IF(AJ78&gt;=AK78,"S","D"))))</f>
        <v/>
      </c>
      <c r="D78" s="111" t="str">
        <f>IF($C78="","",IF($C78="SPLUS",AF78,IF($C78="S",AG78,AH78)))</f>
        <v/>
      </c>
      <c r="E78" s="112" t="str">
        <f>IF($C78="","",$D78+LearnShared*($A78-$D78))</f>
        <v/>
      </c>
      <c r="F78" s="85" t="str">
        <f>IF($C78="","",MAX(LearnFloor,$E78^LOG(LearnRate,2)))</f>
        <v/>
      </c>
      <c r="G78" s="85" t="str">
        <f>IF($C78="","",1-IF(IF(Deal="Commit to the full plan",PlanStores,$A78)&gt;=PBAt4,PBDisc4,IF(IF(Deal="Commit to the full plan",PlanStores,$A78)&gt;=PBAt3,PBDisc3,IF(IF(Deal="Commit to the full plan",PlanStores,$A78)&gt;=PBAt2,PBDisc2,IF(IF(Deal="Commit to the full plan",PlanStores,$A78)&gt;=PBAt1,PBDisc1,0)))))</f>
        <v/>
      </c>
      <c r="H78" s="39" t="str">
        <f>IF($C78="","",INDEX(BaseL,AL78)*$F78+INDEX(BaseV,AL78)*$G78+INDEX(BaseN,AL78))</f>
        <v/>
      </c>
      <c r="I78" s="39" t="str">
        <f>IF($C78="","",$H78*(1+BuildInflation)^($B78-1))</f>
        <v/>
      </c>
      <c r="J78" s="40" t="str">
        <f>IF($C78="","",IF(AN78="",IF(INDEX(Cand,AL78)=0,"No street of this size","Typical "&amp;LOWER(INDEX(TierNames,AL78))&amp;" street"),INDEX(Melbourne!$B$58:$B$135,AN78)))</f>
        <v/>
      </c>
      <c r="K78" s="40" t="str">
        <f>IF(OR($C78="",AN78=""),"",INDEX(Melbourne!$C$58:$C$135,AN78))</f>
        <v/>
      </c>
      <c r="L78" s="46" t="str">
        <f>IF($C78="","",IF(AN78="",INDEX(TypicalF,AL78),INDEX(Melbourne!$E$58:$E$135,AN78)))</f>
        <v/>
      </c>
      <c r="M78" s="86" t="str">
        <f>IF($C78="","",IF(AN78="",INDEX(TypicalQ,AL78),INDEX(Melbourne!$N$58:$N$135,AN78)))</f>
        <v/>
      </c>
      <c r="N78" s="39" t="str">
        <f>IF($C78="","",MIN($L78*Capture*$M78*Conversion*Ticket,INDEX(CapacityPsf,AL78)*INDEX(Area,AL78)))</f>
        <v/>
      </c>
      <c r="O78" s="39" t="str">
        <f>IF($C78="","",INDEX(Area,AL78)*RentPsf*($L78/Fref)^RentElasticity)</f>
        <v/>
      </c>
      <c r="P78" s="39" t="str">
        <f>IF($C78="","",$O78+INDEX(RunOther,AL78))</f>
        <v/>
      </c>
      <c r="Q78" s="95" t="str">
        <f>IF($C78="","",$N78*ContribMargin-$P78-INDEX(LicPlan,AL78))</f>
        <v/>
      </c>
      <c r="R78" s="113" t="str">
        <f>IF($C78="","",IF(AND(AO78&gt;=$H78,AO78&gt;0),$H78/AO78,IF(AND(AO78+AP78&gt;=$H78,AP78&gt;0),1+($H78-AO78)/AP78,IF($Q78&gt;0,2+($H78-AO78-AP78)/$Q78,"Never"))))</f>
        <v/>
      </c>
      <c r="S78" s="39" t="str">
        <f>IF($C78="","",StockWeeks/52*$N78*(1-GrossMargin))</f>
        <v/>
      </c>
      <c r="U78" s="95">
        <f>IF(OR($C78="",U$21&lt;$B78),0,IF(U$21=$B78,OpenYearShare,1)*($N78*ContribMargin*IF(U$21=$B78,Ramp1,IF(U$21=$B78+1,Ramp2,1))-$P78-INDEX(LicByYear,AL78,U$21)))</f>
        <v>0</v>
      </c>
      <c r="V78" s="95">
        <f>IF(OR($C78="",V$21&lt;$B78),0,IF(V$21=$B78,OpenYearShare,1)*($N78*ContribMargin*IF(V$21=$B78,Ramp1,IF(V$21=$B78+1,Ramp2,1))-$P78-INDEX(LicByYear,AL78,V$21)))</f>
        <v>0</v>
      </c>
      <c r="W78" s="95">
        <f>IF(OR($C78="",W$21&lt;$B78),0,IF(W$21=$B78,OpenYearShare,1)*($N78*ContribMargin*IF(W$21=$B78,Ramp1,IF(W$21=$B78+1,Ramp2,1))-$P78-INDEX(LicByYear,AL78,W$21)))</f>
        <v>0</v>
      </c>
      <c r="X78" s="95">
        <f>IF(OR($C78="",X$21&lt;$B78),0,IF(X$21=$B78,OpenYearShare,1)*($N78*ContribMargin*IF(X$21=$B78,Ramp1,IF(X$21=$B78+1,Ramp2,1))-$P78-INDEX(LicByYear,AL78,X$21)))</f>
        <v>0</v>
      </c>
      <c r="Y78" s="95">
        <f>IF(OR($C78="",Y$21&lt;$B78),0,IF(Y$21=$B78,OpenYearShare,1)*($N78*ContribMargin*IF(Y$21=$B78,Ramp1,IF(Y$21=$B78+1,Ramp2,1))-$P78-INDEX(LicByYear,AL78,Y$21)))</f>
        <v>0</v>
      </c>
      <c r="Z78" s="95">
        <f>IF(OR($C78="",Z$21&lt;$B78),0,IF(Z$21=$B78,OpenYearShare,1)*($N78*ContribMargin*IF(Z$21=$B78,Ramp1,IF(Z$21=$B78+1,Ramp2,1))-$P78-INDEX(LicByYear,AL78,Z$21)))</f>
        <v>0</v>
      </c>
      <c r="AA78" s="95">
        <f>IF(OR($C78="",AA$21&lt;$B78),0,IF(AA$21=$B78,OpenYearShare,1)*($N78*ContribMargin*IF(AA$21=$B78,Ramp1,IF(AA$21=$B78+1,Ramp2,1))-$P78-INDEX(LicByYear,AL78,AA$21)))</f>
        <v>0</v>
      </c>
      <c r="AB78" s="95">
        <f>IF(OR($C78="",AB$21&lt;$B78),0,IF(AB$21=$B78,OpenYearShare,1)*($N78*ContribMargin*IF(AB$21=$B78,Ramp1,IF(AB$21=$B78+1,Ramp2,1))-$P78-INDEX(LicByYear,AL78,AB$21)))</f>
        <v>0</v>
      </c>
      <c r="AC78" s="95">
        <f>IF(OR($C78="",AC$21&lt;$B78),0,IF(AC$21=$B78,OpenYearShare,1)*($N78*ContribMargin*IF(AC$21=$B78,Ramp1,IF(AC$21=$B78+1,Ramp2,1))-$P78-INDEX(LicByYear,AL78,AC$21)))</f>
        <v>0</v>
      </c>
      <c r="AD78" s="95">
        <f>IF(OR($C78="",AD$21&lt;$B78),0,IF(AD$21=$B78,OpenYearShare,1)*($N78*ContribMargin*IF(AD$21=$B78,Ramp1,IF(AD$21=$B78+1,Ramp2,1))-$P78-INDEX(LicByYear,AL78,AD$21)))</f>
        <v>0</v>
      </c>
      <c r="AF78" s="82">
        <f>AF77+IF($C78="SPLUS",1,0)</f>
        <v>7</v>
      </c>
      <c r="AG78" s="82">
        <f>AG77+IF($C78="S",1,0)</f>
        <v>15</v>
      </c>
      <c r="AH78" s="82">
        <f>AH77+IF($C78="D",1,0)</f>
        <v>8</v>
      </c>
      <c r="AI78" s="105">
        <f>IF(OR($A78&gt;PlanStores,AF77&gt;=INDEX(Target,1)),-1000000000,INDEX(Target,1)*$A78-AF77*PlanStores)</f>
        <v>-1000000000</v>
      </c>
      <c r="AJ78" s="105">
        <f>IF(OR($A78&gt;PlanStores,AG77&gt;=INDEX(Target,2)),-1000000000,INDEX(Target,2)*$A78-AG77*PlanStores)</f>
        <v>-1000000000</v>
      </c>
      <c r="AK78" s="105">
        <f>IF(OR($A78&gt;PlanStores,AH77&gt;=INDEX(Target,3)),-1000000000,INDEX(Target,3)*$A78-AH77*PlanStores)</f>
        <v>-1000000000</v>
      </c>
      <c r="AL78" s="82" t="str">
        <f>IF($C78="","",MATCH($C78,TierCodes,0))</f>
        <v/>
      </c>
      <c r="AM78" s="82" t="str">
        <f>IF($C78="","",IF(OR(StreetChoice="Typical street for its size",INDEX(Cand,AL78)=0),"",MOD($D78-1,INDEX(Cand,AL78))+1))</f>
        <v/>
      </c>
      <c r="AN78" s="82" t="str">
        <f>IF(AM78="","",MATCH($C78&amp;"|"&amp;AM78,Melbourne!$AA$58:$AA$135,0))</f>
        <v/>
      </c>
      <c r="AO78" s="76" t="str">
        <f>IF($C78="","",Ramp1*$N78*ContribMargin-$P78-INDEX(LicPlan,AL78))</f>
        <v/>
      </c>
      <c r="AP78" s="76" t="str">
        <f>IF($C78="","",Ramp2*$N78*ContribMargin-$P78-INDEX(LicPlan,AL78))</f>
        <v/>
      </c>
      <c r="AR78" s="61" t="str">
        <f>IF($C78="","",MAX(Scale!$C$7,($D78+Scale!$C$8*($A78-$D78))^LOG(Scale!$C$6,2)))</f>
        <v/>
      </c>
      <c r="AS78" s="61" t="str">
        <f>IF($C78="","",1-IF(IF(Deal="Commit to the full plan",PlanStores,$A78)&gt;=PBAt4,Scale!$C$12,IF(IF(Deal="Commit to the full plan",PlanStores,$A78)&gt;=PBAt3,Scale!$C$11,IF(IF(Deal="Commit to the full plan",PlanStores,$A78)&gt;=PBAt2,Scale!$C$10,IF(IF(Deal="Commit to the full plan",PlanStores,$A78)&gt;=PBAt1,Scale!$C$9,0)))))</f>
        <v/>
      </c>
      <c r="AT78" s="61" t="str">
        <f>IF($C78="","",MAX(Scale!$D$7,($D78+Scale!$D$8*($A78-$D78))^LOG(Scale!$D$6,2)))</f>
        <v/>
      </c>
      <c r="AU78" s="61" t="str">
        <f>IF($C78="","",1-IF(IF(Deal="Commit to the full plan",PlanStores,$A78)&gt;=PBAt4,Scale!$D$12,IF(IF(Deal="Commit to the full plan",PlanStores,$A78)&gt;=PBAt3,Scale!$D$11,IF(IF(Deal="Commit to the full plan",PlanStores,$A78)&gt;=PBAt2,Scale!$D$10,IF(IF(Deal="Commit to the full plan",PlanStores,$A78)&gt;=PBAt1,Scale!$D$9,0)))))</f>
        <v/>
      </c>
      <c r="AV78" s="61" t="str">
        <f>IF($C78="","",MAX(Scale!$E$7,($D78+Scale!$E$8*($A78-$D78))^LOG(Scale!$E$6,2)))</f>
        <v/>
      </c>
      <c r="AW78" s="61" t="str">
        <f>IF($C78="","",1-IF(IF(Deal="Commit to the full plan",PlanStores,$A78)&gt;=PBAt4,Scale!$E$12,IF(IF(Deal="Commit to the full plan",PlanStores,$A78)&gt;=PBAt3,Scale!$E$11,IF(IF(Deal="Commit to the full plan",PlanStores,$A78)&gt;=PBAt2,Scale!$E$10,IF(IF(Deal="Commit to the full plan",PlanStores,$A78)&gt;=PBAt1,Scale!$E$9,0)))))</f>
        <v/>
      </c>
    </row>
    <row r="79">
      <c r="A79" s="110" t="n">
        <v>58</v>
      </c>
      <c r="B79" s="111" t="str">
        <f>IF($A79&gt;PlanStores,"",1+COUNTIF(CumOpenings,"&lt;"&amp;$A79))</f>
        <v/>
      </c>
      <c r="C79" s="14" t="str">
        <f>IF($A79&gt;PlanStores,"",IF(AND($A79=1,FlagshipFirst="Yes",INDEX(Target,1)&gt;0),"SPLUS",IF(AND(AI79&gt;=AJ79,AI79&gt;=AK79),"SPLUS",IF(AJ79&gt;=AK79,"S","D"))))</f>
        <v/>
      </c>
      <c r="D79" s="111" t="str">
        <f>IF($C79="","",IF($C79="SPLUS",AF79,IF($C79="S",AG79,AH79)))</f>
        <v/>
      </c>
      <c r="E79" s="112" t="str">
        <f>IF($C79="","",$D79+LearnShared*($A79-$D79))</f>
        <v/>
      </c>
      <c r="F79" s="85" t="str">
        <f>IF($C79="","",MAX(LearnFloor,$E79^LOG(LearnRate,2)))</f>
        <v/>
      </c>
      <c r="G79" s="85" t="str">
        <f>IF($C79="","",1-IF(IF(Deal="Commit to the full plan",PlanStores,$A79)&gt;=PBAt4,PBDisc4,IF(IF(Deal="Commit to the full plan",PlanStores,$A79)&gt;=PBAt3,PBDisc3,IF(IF(Deal="Commit to the full plan",PlanStores,$A79)&gt;=PBAt2,PBDisc2,IF(IF(Deal="Commit to the full plan",PlanStores,$A79)&gt;=PBAt1,PBDisc1,0)))))</f>
        <v/>
      </c>
      <c r="H79" s="39" t="str">
        <f>IF($C79="","",INDEX(BaseL,AL79)*$F79+INDEX(BaseV,AL79)*$G79+INDEX(BaseN,AL79))</f>
        <v/>
      </c>
      <c r="I79" s="39" t="str">
        <f>IF($C79="","",$H79*(1+BuildInflation)^($B79-1))</f>
        <v/>
      </c>
      <c r="J79" s="40" t="str">
        <f>IF($C79="","",IF(AN79="",IF(INDEX(Cand,AL79)=0,"No street of this size","Typical "&amp;LOWER(INDEX(TierNames,AL79))&amp;" street"),INDEX(Melbourne!$B$58:$B$135,AN79)))</f>
        <v/>
      </c>
      <c r="K79" s="40" t="str">
        <f>IF(OR($C79="",AN79=""),"",INDEX(Melbourne!$C$58:$C$135,AN79))</f>
        <v/>
      </c>
      <c r="L79" s="46" t="str">
        <f>IF($C79="","",IF(AN79="",INDEX(TypicalF,AL79),INDEX(Melbourne!$E$58:$E$135,AN79)))</f>
        <v/>
      </c>
      <c r="M79" s="86" t="str">
        <f>IF($C79="","",IF(AN79="",INDEX(TypicalQ,AL79),INDEX(Melbourne!$N$58:$N$135,AN79)))</f>
        <v/>
      </c>
      <c r="N79" s="39" t="str">
        <f>IF($C79="","",MIN($L79*Capture*$M79*Conversion*Ticket,INDEX(CapacityPsf,AL79)*INDEX(Area,AL79)))</f>
        <v/>
      </c>
      <c r="O79" s="39" t="str">
        <f>IF($C79="","",INDEX(Area,AL79)*RentPsf*($L79/Fref)^RentElasticity)</f>
        <v/>
      </c>
      <c r="P79" s="39" t="str">
        <f>IF($C79="","",$O79+INDEX(RunOther,AL79))</f>
        <v/>
      </c>
      <c r="Q79" s="95" t="str">
        <f>IF($C79="","",$N79*ContribMargin-$P79-INDEX(LicPlan,AL79))</f>
        <v/>
      </c>
      <c r="R79" s="113" t="str">
        <f>IF($C79="","",IF(AND(AO79&gt;=$H79,AO79&gt;0),$H79/AO79,IF(AND(AO79+AP79&gt;=$H79,AP79&gt;0),1+($H79-AO79)/AP79,IF($Q79&gt;0,2+($H79-AO79-AP79)/$Q79,"Never"))))</f>
        <v/>
      </c>
      <c r="S79" s="39" t="str">
        <f>IF($C79="","",StockWeeks/52*$N79*(1-GrossMargin))</f>
        <v/>
      </c>
      <c r="U79" s="95">
        <f>IF(OR($C79="",U$21&lt;$B79),0,IF(U$21=$B79,OpenYearShare,1)*($N79*ContribMargin*IF(U$21=$B79,Ramp1,IF(U$21=$B79+1,Ramp2,1))-$P79-INDEX(LicByYear,AL79,U$21)))</f>
        <v>0</v>
      </c>
      <c r="V79" s="95">
        <f>IF(OR($C79="",V$21&lt;$B79),0,IF(V$21=$B79,OpenYearShare,1)*($N79*ContribMargin*IF(V$21=$B79,Ramp1,IF(V$21=$B79+1,Ramp2,1))-$P79-INDEX(LicByYear,AL79,V$21)))</f>
        <v>0</v>
      </c>
      <c r="W79" s="95">
        <f>IF(OR($C79="",W$21&lt;$B79),0,IF(W$21=$B79,OpenYearShare,1)*($N79*ContribMargin*IF(W$21=$B79,Ramp1,IF(W$21=$B79+1,Ramp2,1))-$P79-INDEX(LicByYear,AL79,W$21)))</f>
        <v>0</v>
      </c>
      <c r="X79" s="95">
        <f>IF(OR($C79="",X$21&lt;$B79),0,IF(X$21=$B79,OpenYearShare,1)*($N79*ContribMargin*IF(X$21=$B79,Ramp1,IF(X$21=$B79+1,Ramp2,1))-$P79-INDEX(LicByYear,AL79,X$21)))</f>
        <v>0</v>
      </c>
      <c r="Y79" s="95">
        <f>IF(OR($C79="",Y$21&lt;$B79),0,IF(Y$21=$B79,OpenYearShare,1)*($N79*ContribMargin*IF(Y$21=$B79,Ramp1,IF(Y$21=$B79+1,Ramp2,1))-$P79-INDEX(LicByYear,AL79,Y$21)))</f>
        <v>0</v>
      </c>
      <c r="Z79" s="95">
        <f>IF(OR($C79="",Z$21&lt;$B79),0,IF(Z$21=$B79,OpenYearShare,1)*($N79*ContribMargin*IF(Z$21=$B79,Ramp1,IF(Z$21=$B79+1,Ramp2,1))-$P79-INDEX(LicByYear,AL79,Z$21)))</f>
        <v>0</v>
      </c>
      <c r="AA79" s="95">
        <f>IF(OR($C79="",AA$21&lt;$B79),0,IF(AA$21=$B79,OpenYearShare,1)*($N79*ContribMargin*IF(AA$21=$B79,Ramp1,IF(AA$21=$B79+1,Ramp2,1))-$P79-INDEX(LicByYear,AL79,AA$21)))</f>
        <v>0</v>
      </c>
      <c r="AB79" s="95">
        <f>IF(OR($C79="",AB$21&lt;$B79),0,IF(AB$21=$B79,OpenYearShare,1)*($N79*ContribMargin*IF(AB$21=$B79,Ramp1,IF(AB$21=$B79+1,Ramp2,1))-$P79-INDEX(LicByYear,AL79,AB$21)))</f>
        <v>0</v>
      </c>
      <c r="AC79" s="95">
        <f>IF(OR($C79="",AC$21&lt;$B79),0,IF(AC$21=$B79,OpenYearShare,1)*($N79*ContribMargin*IF(AC$21=$B79,Ramp1,IF(AC$21=$B79+1,Ramp2,1))-$P79-INDEX(LicByYear,AL79,AC$21)))</f>
        <v>0</v>
      </c>
      <c r="AD79" s="95">
        <f>IF(OR($C79="",AD$21&lt;$B79),0,IF(AD$21=$B79,OpenYearShare,1)*($N79*ContribMargin*IF(AD$21=$B79,Ramp1,IF(AD$21=$B79+1,Ramp2,1))-$P79-INDEX(LicByYear,AL79,AD$21)))</f>
        <v>0</v>
      </c>
      <c r="AF79" s="82">
        <f>AF78+IF($C79="SPLUS",1,0)</f>
        <v>7</v>
      </c>
      <c r="AG79" s="82">
        <f>AG78+IF($C79="S",1,0)</f>
        <v>15</v>
      </c>
      <c r="AH79" s="82">
        <f>AH78+IF($C79="D",1,0)</f>
        <v>8</v>
      </c>
      <c r="AI79" s="105">
        <f>IF(OR($A79&gt;PlanStores,AF78&gt;=INDEX(Target,1)),-1000000000,INDEX(Target,1)*$A79-AF78*PlanStores)</f>
        <v>-1000000000</v>
      </c>
      <c r="AJ79" s="105">
        <f>IF(OR($A79&gt;PlanStores,AG78&gt;=INDEX(Target,2)),-1000000000,INDEX(Target,2)*$A79-AG78*PlanStores)</f>
        <v>-1000000000</v>
      </c>
      <c r="AK79" s="105">
        <f>IF(OR($A79&gt;PlanStores,AH78&gt;=INDEX(Target,3)),-1000000000,INDEX(Target,3)*$A79-AH78*PlanStores)</f>
        <v>-1000000000</v>
      </c>
      <c r="AL79" s="82" t="str">
        <f>IF($C79="","",MATCH($C79,TierCodes,0))</f>
        <v/>
      </c>
      <c r="AM79" s="82" t="str">
        <f>IF($C79="","",IF(OR(StreetChoice="Typical street for its size",INDEX(Cand,AL79)=0),"",MOD($D79-1,INDEX(Cand,AL79))+1))</f>
        <v/>
      </c>
      <c r="AN79" s="82" t="str">
        <f>IF(AM79="","",MATCH($C79&amp;"|"&amp;AM79,Melbourne!$AA$58:$AA$135,0))</f>
        <v/>
      </c>
      <c r="AO79" s="76" t="str">
        <f>IF($C79="","",Ramp1*$N79*ContribMargin-$P79-INDEX(LicPlan,AL79))</f>
        <v/>
      </c>
      <c r="AP79" s="76" t="str">
        <f>IF($C79="","",Ramp2*$N79*ContribMargin-$P79-INDEX(LicPlan,AL79))</f>
        <v/>
      </c>
      <c r="AR79" s="61" t="str">
        <f>IF($C79="","",MAX(Scale!$C$7,($D79+Scale!$C$8*($A79-$D79))^LOG(Scale!$C$6,2)))</f>
        <v/>
      </c>
      <c r="AS79" s="61" t="str">
        <f>IF($C79="","",1-IF(IF(Deal="Commit to the full plan",PlanStores,$A79)&gt;=PBAt4,Scale!$C$12,IF(IF(Deal="Commit to the full plan",PlanStores,$A79)&gt;=PBAt3,Scale!$C$11,IF(IF(Deal="Commit to the full plan",PlanStores,$A79)&gt;=PBAt2,Scale!$C$10,IF(IF(Deal="Commit to the full plan",PlanStores,$A79)&gt;=PBAt1,Scale!$C$9,0)))))</f>
        <v/>
      </c>
      <c r="AT79" s="61" t="str">
        <f>IF($C79="","",MAX(Scale!$D$7,($D79+Scale!$D$8*($A79-$D79))^LOG(Scale!$D$6,2)))</f>
        <v/>
      </c>
      <c r="AU79" s="61" t="str">
        <f>IF($C79="","",1-IF(IF(Deal="Commit to the full plan",PlanStores,$A79)&gt;=PBAt4,Scale!$D$12,IF(IF(Deal="Commit to the full plan",PlanStores,$A79)&gt;=PBAt3,Scale!$D$11,IF(IF(Deal="Commit to the full plan",PlanStores,$A79)&gt;=PBAt2,Scale!$D$10,IF(IF(Deal="Commit to the full plan",PlanStores,$A79)&gt;=PBAt1,Scale!$D$9,0)))))</f>
        <v/>
      </c>
      <c r="AV79" s="61" t="str">
        <f>IF($C79="","",MAX(Scale!$E$7,($D79+Scale!$E$8*($A79-$D79))^LOG(Scale!$E$6,2)))</f>
        <v/>
      </c>
      <c r="AW79" s="61" t="str">
        <f>IF($C79="","",1-IF(IF(Deal="Commit to the full plan",PlanStores,$A79)&gt;=PBAt4,Scale!$E$12,IF(IF(Deal="Commit to the full plan",PlanStores,$A79)&gt;=PBAt3,Scale!$E$11,IF(IF(Deal="Commit to the full plan",PlanStores,$A79)&gt;=PBAt2,Scale!$E$10,IF(IF(Deal="Commit to the full plan",PlanStores,$A79)&gt;=PBAt1,Scale!$E$9,0)))))</f>
        <v/>
      </c>
    </row>
    <row r="80">
      <c r="A80" s="110" t="n">
        <v>59</v>
      </c>
      <c r="B80" s="111" t="str">
        <f>IF($A80&gt;PlanStores,"",1+COUNTIF(CumOpenings,"&lt;"&amp;$A80))</f>
        <v/>
      </c>
      <c r="C80" s="14" t="str">
        <f>IF($A80&gt;PlanStores,"",IF(AND($A80=1,FlagshipFirst="Yes",INDEX(Target,1)&gt;0),"SPLUS",IF(AND(AI80&gt;=AJ80,AI80&gt;=AK80),"SPLUS",IF(AJ80&gt;=AK80,"S","D"))))</f>
        <v/>
      </c>
      <c r="D80" s="111" t="str">
        <f>IF($C80="","",IF($C80="SPLUS",AF80,IF($C80="S",AG80,AH80)))</f>
        <v/>
      </c>
      <c r="E80" s="112" t="str">
        <f>IF($C80="","",$D80+LearnShared*($A80-$D80))</f>
        <v/>
      </c>
      <c r="F80" s="85" t="str">
        <f>IF($C80="","",MAX(LearnFloor,$E80^LOG(LearnRate,2)))</f>
        <v/>
      </c>
      <c r="G80" s="85" t="str">
        <f>IF($C80="","",1-IF(IF(Deal="Commit to the full plan",PlanStores,$A80)&gt;=PBAt4,PBDisc4,IF(IF(Deal="Commit to the full plan",PlanStores,$A80)&gt;=PBAt3,PBDisc3,IF(IF(Deal="Commit to the full plan",PlanStores,$A80)&gt;=PBAt2,PBDisc2,IF(IF(Deal="Commit to the full plan",PlanStores,$A80)&gt;=PBAt1,PBDisc1,0)))))</f>
        <v/>
      </c>
      <c r="H80" s="39" t="str">
        <f>IF($C80="","",INDEX(BaseL,AL80)*$F80+INDEX(BaseV,AL80)*$G80+INDEX(BaseN,AL80))</f>
        <v/>
      </c>
      <c r="I80" s="39" t="str">
        <f>IF($C80="","",$H80*(1+BuildInflation)^($B80-1))</f>
        <v/>
      </c>
      <c r="J80" s="40" t="str">
        <f>IF($C80="","",IF(AN80="",IF(INDEX(Cand,AL80)=0,"No street of this size","Typical "&amp;LOWER(INDEX(TierNames,AL80))&amp;" street"),INDEX(Melbourne!$B$58:$B$135,AN80)))</f>
        <v/>
      </c>
      <c r="K80" s="40" t="str">
        <f>IF(OR($C80="",AN80=""),"",INDEX(Melbourne!$C$58:$C$135,AN80))</f>
        <v/>
      </c>
      <c r="L80" s="46" t="str">
        <f>IF($C80="","",IF(AN80="",INDEX(TypicalF,AL80),INDEX(Melbourne!$E$58:$E$135,AN80)))</f>
        <v/>
      </c>
      <c r="M80" s="86" t="str">
        <f>IF($C80="","",IF(AN80="",INDEX(TypicalQ,AL80),INDEX(Melbourne!$N$58:$N$135,AN80)))</f>
        <v/>
      </c>
      <c r="N80" s="39" t="str">
        <f>IF($C80="","",MIN($L80*Capture*$M80*Conversion*Ticket,INDEX(CapacityPsf,AL80)*INDEX(Area,AL80)))</f>
        <v/>
      </c>
      <c r="O80" s="39" t="str">
        <f>IF($C80="","",INDEX(Area,AL80)*RentPsf*($L80/Fref)^RentElasticity)</f>
        <v/>
      </c>
      <c r="P80" s="39" t="str">
        <f>IF($C80="","",$O80+INDEX(RunOther,AL80))</f>
        <v/>
      </c>
      <c r="Q80" s="95" t="str">
        <f>IF($C80="","",$N80*ContribMargin-$P80-INDEX(LicPlan,AL80))</f>
        <v/>
      </c>
      <c r="R80" s="113" t="str">
        <f>IF($C80="","",IF(AND(AO80&gt;=$H80,AO80&gt;0),$H80/AO80,IF(AND(AO80+AP80&gt;=$H80,AP80&gt;0),1+($H80-AO80)/AP80,IF($Q80&gt;0,2+($H80-AO80-AP80)/$Q80,"Never"))))</f>
        <v/>
      </c>
      <c r="S80" s="39" t="str">
        <f>IF($C80="","",StockWeeks/52*$N80*(1-GrossMargin))</f>
        <v/>
      </c>
      <c r="U80" s="95">
        <f>IF(OR($C80="",U$21&lt;$B80),0,IF(U$21=$B80,OpenYearShare,1)*($N80*ContribMargin*IF(U$21=$B80,Ramp1,IF(U$21=$B80+1,Ramp2,1))-$P80-INDEX(LicByYear,AL80,U$21)))</f>
        <v>0</v>
      </c>
      <c r="V80" s="95">
        <f>IF(OR($C80="",V$21&lt;$B80),0,IF(V$21=$B80,OpenYearShare,1)*($N80*ContribMargin*IF(V$21=$B80,Ramp1,IF(V$21=$B80+1,Ramp2,1))-$P80-INDEX(LicByYear,AL80,V$21)))</f>
        <v>0</v>
      </c>
      <c r="W80" s="95">
        <f>IF(OR($C80="",W$21&lt;$B80),0,IF(W$21=$B80,OpenYearShare,1)*($N80*ContribMargin*IF(W$21=$B80,Ramp1,IF(W$21=$B80+1,Ramp2,1))-$P80-INDEX(LicByYear,AL80,W$21)))</f>
        <v>0</v>
      </c>
      <c r="X80" s="95">
        <f>IF(OR($C80="",X$21&lt;$B80),0,IF(X$21=$B80,OpenYearShare,1)*($N80*ContribMargin*IF(X$21=$B80,Ramp1,IF(X$21=$B80+1,Ramp2,1))-$P80-INDEX(LicByYear,AL80,X$21)))</f>
        <v>0</v>
      </c>
      <c r="Y80" s="95">
        <f>IF(OR($C80="",Y$21&lt;$B80),0,IF(Y$21=$B80,OpenYearShare,1)*($N80*ContribMargin*IF(Y$21=$B80,Ramp1,IF(Y$21=$B80+1,Ramp2,1))-$P80-INDEX(LicByYear,AL80,Y$21)))</f>
        <v>0</v>
      </c>
      <c r="Z80" s="95">
        <f>IF(OR($C80="",Z$21&lt;$B80),0,IF(Z$21=$B80,OpenYearShare,1)*($N80*ContribMargin*IF(Z$21=$B80,Ramp1,IF(Z$21=$B80+1,Ramp2,1))-$P80-INDEX(LicByYear,AL80,Z$21)))</f>
        <v>0</v>
      </c>
      <c r="AA80" s="95">
        <f>IF(OR($C80="",AA$21&lt;$B80),0,IF(AA$21=$B80,OpenYearShare,1)*($N80*ContribMargin*IF(AA$21=$B80,Ramp1,IF(AA$21=$B80+1,Ramp2,1))-$P80-INDEX(LicByYear,AL80,AA$21)))</f>
        <v>0</v>
      </c>
      <c r="AB80" s="95">
        <f>IF(OR($C80="",AB$21&lt;$B80),0,IF(AB$21=$B80,OpenYearShare,1)*($N80*ContribMargin*IF(AB$21=$B80,Ramp1,IF(AB$21=$B80+1,Ramp2,1))-$P80-INDEX(LicByYear,AL80,AB$21)))</f>
        <v>0</v>
      </c>
      <c r="AC80" s="95">
        <f>IF(OR($C80="",AC$21&lt;$B80),0,IF(AC$21=$B80,OpenYearShare,1)*($N80*ContribMargin*IF(AC$21=$B80,Ramp1,IF(AC$21=$B80+1,Ramp2,1))-$P80-INDEX(LicByYear,AL80,AC$21)))</f>
        <v>0</v>
      </c>
      <c r="AD80" s="95">
        <f>IF(OR($C80="",AD$21&lt;$B80),0,IF(AD$21=$B80,OpenYearShare,1)*($N80*ContribMargin*IF(AD$21=$B80,Ramp1,IF(AD$21=$B80+1,Ramp2,1))-$P80-INDEX(LicByYear,AL80,AD$21)))</f>
        <v>0</v>
      </c>
      <c r="AF80" s="82">
        <f>AF79+IF($C80="SPLUS",1,0)</f>
        <v>7</v>
      </c>
      <c r="AG80" s="82">
        <f>AG79+IF($C80="S",1,0)</f>
        <v>15</v>
      </c>
      <c r="AH80" s="82">
        <f>AH79+IF($C80="D",1,0)</f>
        <v>8</v>
      </c>
      <c r="AI80" s="105">
        <f>IF(OR($A80&gt;PlanStores,AF79&gt;=INDEX(Target,1)),-1000000000,INDEX(Target,1)*$A80-AF79*PlanStores)</f>
        <v>-1000000000</v>
      </c>
      <c r="AJ80" s="105">
        <f>IF(OR($A80&gt;PlanStores,AG79&gt;=INDEX(Target,2)),-1000000000,INDEX(Target,2)*$A80-AG79*PlanStores)</f>
        <v>-1000000000</v>
      </c>
      <c r="AK80" s="105">
        <f>IF(OR($A80&gt;PlanStores,AH79&gt;=INDEX(Target,3)),-1000000000,INDEX(Target,3)*$A80-AH79*PlanStores)</f>
        <v>-1000000000</v>
      </c>
      <c r="AL80" s="82" t="str">
        <f>IF($C80="","",MATCH($C80,TierCodes,0))</f>
        <v/>
      </c>
      <c r="AM80" s="82" t="str">
        <f>IF($C80="","",IF(OR(StreetChoice="Typical street for its size",INDEX(Cand,AL80)=0),"",MOD($D80-1,INDEX(Cand,AL80))+1))</f>
        <v/>
      </c>
      <c r="AN80" s="82" t="str">
        <f>IF(AM80="","",MATCH($C80&amp;"|"&amp;AM80,Melbourne!$AA$58:$AA$135,0))</f>
        <v/>
      </c>
      <c r="AO80" s="76" t="str">
        <f>IF($C80="","",Ramp1*$N80*ContribMargin-$P80-INDEX(LicPlan,AL80))</f>
        <v/>
      </c>
      <c r="AP80" s="76" t="str">
        <f>IF($C80="","",Ramp2*$N80*ContribMargin-$P80-INDEX(LicPlan,AL80))</f>
        <v/>
      </c>
      <c r="AR80" s="61" t="str">
        <f>IF($C80="","",MAX(Scale!$C$7,($D80+Scale!$C$8*($A80-$D80))^LOG(Scale!$C$6,2)))</f>
        <v/>
      </c>
      <c r="AS80" s="61" t="str">
        <f>IF($C80="","",1-IF(IF(Deal="Commit to the full plan",PlanStores,$A80)&gt;=PBAt4,Scale!$C$12,IF(IF(Deal="Commit to the full plan",PlanStores,$A80)&gt;=PBAt3,Scale!$C$11,IF(IF(Deal="Commit to the full plan",PlanStores,$A80)&gt;=PBAt2,Scale!$C$10,IF(IF(Deal="Commit to the full plan",PlanStores,$A80)&gt;=PBAt1,Scale!$C$9,0)))))</f>
        <v/>
      </c>
      <c r="AT80" s="61" t="str">
        <f>IF($C80="","",MAX(Scale!$D$7,($D80+Scale!$D$8*($A80-$D80))^LOG(Scale!$D$6,2)))</f>
        <v/>
      </c>
      <c r="AU80" s="61" t="str">
        <f>IF($C80="","",1-IF(IF(Deal="Commit to the full plan",PlanStores,$A80)&gt;=PBAt4,Scale!$D$12,IF(IF(Deal="Commit to the full plan",PlanStores,$A80)&gt;=PBAt3,Scale!$D$11,IF(IF(Deal="Commit to the full plan",PlanStores,$A80)&gt;=PBAt2,Scale!$D$10,IF(IF(Deal="Commit to the full plan",PlanStores,$A80)&gt;=PBAt1,Scale!$D$9,0)))))</f>
        <v/>
      </c>
      <c r="AV80" s="61" t="str">
        <f>IF($C80="","",MAX(Scale!$E$7,($D80+Scale!$E$8*($A80-$D80))^LOG(Scale!$E$6,2)))</f>
        <v/>
      </c>
      <c r="AW80" s="61" t="str">
        <f>IF($C80="","",1-IF(IF(Deal="Commit to the full plan",PlanStores,$A80)&gt;=PBAt4,Scale!$E$12,IF(IF(Deal="Commit to the full plan",PlanStores,$A80)&gt;=PBAt3,Scale!$E$11,IF(IF(Deal="Commit to the full plan",PlanStores,$A80)&gt;=PBAt2,Scale!$E$10,IF(IF(Deal="Commit to the full plan",PlanStores,$A80)&gt;=PBAt1,Scale!$E$9,0)))))</f>
        <v/>
      </c>
    </row>
    <row r="81">
      <c r="A81" s="110" t="n">
        <v>60</v>
      </c>
      <c r="B81" s="111" t="str">
        <f>IF($A81&gt;PlanStores,"",1+COUNTIF(CumOpenings,"&lt;"&amp;$A81))</f>
        <v/>
      </c>
      <c r="C81" s="14" t="str">
        <f>IF($A81&gt;PlanStores,"",IF(AND($A81=1,FlagshipFirst="Yes",INDEX(Target,1)&gt;0),"SPLUS",IF(AND(AI81&gt;=AJ81,AI81&gt;=AK81),"SPLUS",IF(AJ81&gt;=AK81,"S","D"))))</f>
        <v/>
      </c>
      <c r="D81" s="111" t="str">
        <f>IF($C81="","",IF($C81="SPLUS",AF81,IF($C81="S",AG81,AH81)))</f>
        <v/>
      </c>
      <c r="E81" s="112" t="str">
        <f>IF($C81="","",$D81+LearnShared*($A81-$D81))</f>
        <v/>
      </c>
      <c r="F81" s="85" t="str">
        <f>IF($C81="","",MAX(LearnFloor,$E81^LOG(LearnRate,2)))</f>
        <v/>
      </c>
      <c r="G81" s="85" t="str">
        <f>IF($C81="","",1-IF(IF(Deal="Commit to the full plan",PlanStores,$A81)&gt;=PBAt4,PBDisc4,IF(IF(Deal="Commit to the full plan",PlanStores,$A81)&gt;=PBAt3,PBDisc3,IF(IF(Deal="Commit to the full plan",PlanStores,$A81)&gt;=PBAt2,PBDisc2,IF(IF(Deal="Commit to the full plan",PlanStores,$A81)&gt;=PBAt1,PBDisc1,0)))))</f>
        <v/>
      </c>
      <c r="H81" s="39" t="str">
        <f>IF($C81="","",INDEX(BaseL,AL81)*$F81+INDEX(BaseV,AL81)*$G81+INDEX(BaseN,AL81))</f>
        <v/>
      </c>
      <c r="I81" s="39" t="str">
        <f>IF($C81="","",$H81*(1+BuildInflation)^($B81-1))</f>
        <v/>
      </c>
      <c r="J81" s="40" t="str">
        <f>IF($C81="","",IF(AN81="",IF(INDEX(Cand,AL81)=0,"No street of this size","Typical "&amp;LOWER(INDEX(TierNames,AL81))&amp;" street"),INDEX(Melbourne!$B$58:$B$135,AN81)))</f>
        <v/>
      </c>
      <c r="K81" s="40" t="str">
        <f>IF(OR($C81="",AN81=""),"",INDEX(Melbourne!$C$58:$C$135,AN81))</f>
        <v/>
      </c>
      <c r="L81" s="46" t="str">
        <f>IF($C81="","",IF(AN81="",INDEX(TypicalF,AL81),INDEX(Melbourne!$E$58:$E$135,AN81)))</f>
        <v/>
      </c>
      <c r="M81" s="86" t="str">
        <f>IF($C81="","",IF(AN81="",INDEX(TypicalQ,AL81),INDEX(Melbourne!$N$58:$N$135,AN81)))</f>
        <v/>
      </c>
      <c r="N81" s="39" t="str">
        <f>IF($C81="","",MIN($L81*Capture*$M81*Conversion*Ticket,INDEX(CapacityPsf,AL81)*INDEX(Area,AL81)))</f>
        <v/>
      </c>
      <c r="O81" s="39" t="str">
        <f>IF($C81="","",INDEX(Area,AL81)*RentPsf*($L81/Fref)^RentElasticity)</f>
        <v/>
      </c>
      <c r="P81" s="39" t="str">
        <f>IF($C81="","",$O81+INDEX(RunOther,AL81))</f>
        <v/>
      </c>
      <c r="Q81" s="95" t="str">
        <f>IF($C81="","",$N81*ContribMargin-$P81-INDEX(LicPlan,AL81))</f>
        <v/>
      </c>
      <c r="R81" s="113" t="str">
        <f>IF($C81="","",IF(AND(AO81&gt;=$H81,AO81&gt;0),$H81/AO81,IF(AND(AO81+AP81&gt;=$H81,AP81&gt;0),1+($H81-AO81)/AP81,IF($Q81&gt;0,2+($H81-AO81-AP81)/$Q81,"Never"))))</f>
        <v/>
      </c>
      <c r="S81" s="39" t="str">
        <f>IF($C81="","",StockWeeks/52*$N81*(1-GrossMargin))</f>
        <v/>
      </c>
      <c r="U81" s="95">
        <f>IF(OR($C81="",U$21&lt;$B81),0,IF(U$21=$B81,OpenYearShare,1)*($N81*ContribMargin*IF(U$21=$B81,Ramp1,IF(U$21=$B81+1,Ramp2,1))-$P81-INDEX(LicByYear,AL81,U$21)))</f>
        <v>0</v>
      </c>
      <c r="V81" s="95">
        <f>IF(OR($C81="",V$21&lt;$B81),0,IF(V$21=$B81,OpenYearShare,1)*($N81*ContribMargin*IF(V$21=$B81,Ramp1,IF(V$21=$B81+1,Ramp2,1))-$P81-INDEX(LicByYear,AL81,V$21)))</f>
        <v>0</v>
      </c>
      <c r="W81" s="95">
        <f>IF(OR($C81="",W$21&lt;$B81),0,IF(W$21=$B81,OpenYearShare,1)*($N81*ContribMargin*IF(W$21=$B81,Ramp1,IF(W$21=$B81+1,Ramp2,1))-$P81-INDEX(LicByYear,AL81,W$21)))</f>
        <v>0</v>
      </c>
      <c r="X81" s="95">
        <f>IF(OR($C81="",X$21&lt;$B81),0,IF(X$21=$B81,OpenYearShare,1)*($N81*ContribMargin*IF(X$21=$B81,Ramp1,IF(X$21=$B81+1,Ramp2,1))-$P81-INDEX(LicByYear,AL81,X$21)))</f>
        <v>0</v>
      </c>
      <c r="Y81" s="95">
        <f>IF(OR($C81="",Y$21&lt;$B81),0,IF(Y$21=$B81,OpenYearShare,1)*($N81*ContribMargin*IF(Y$21=$B81,Ramp1,IF(Y$21=$B81+1,Ramp2,1))-$P81-INDEX(LicByYear,AL81,Y$21)))</f>
        <v>0</v>
      </c>
      <c r="Z81" s="95">
        <f>IF(OR($C81="",Z$21&lt;$B81),0,IF(Z$21=$B81,OpenYearShare,1)*($N81*ContribMargin*IF(Z$21=$B81,Ramp1,IF(Z$21=$B81+1,Ramp2,1))-$P81-INDEX(LicByYear,AL81,Z$21)))</f>
        <v>0</v>
      </c>
      <c r="AA81" s="95">
        <f>IF(OR($C81="",AA$21&lt;$B81),0,IF(AA$21=$B81,OpenYearShare,1)*($N81*ContribMargin*IF(AA$21=$B81,Ramp1,IF(AA$21=$B81+1,Ramp2,1))-$P81-INDEX(LicByYear,AL81,AA$21)))</f>
        <v>0</v>
      </c>
      <c r="AB81" s="95">
        <f>IF(OR($C81="",AB$21&lt;$B81),0,IF(AB$21=$B81,OpenYearShare,1)*($N81*ContribMargin*IF(AB$21=$B81,Ramp1,IF(AB$21=$B81+1,Ramp2,1))-$P81-INDEX(LicByYear,AL81,AB$21)))</f>
        <v>0</v>
      </c>
      <c r="AC81" s="95">
        <f>IF(OR($C81="",AC$21&lt;$B81),0,IF(AC$21=$B81,OpenYearShare,1)*($N81*ContribMargin*IF(AC$21=$B81,Ramp1,IF(AC$21=$B81+1,Ramp2,1))-$P81-INDEX(LicByYear,AL81,AC$21)))</f>
        <v>0</v>
      </c>
      <c r="AD81" s="95">
        <f>IF(OR($C81="",AD$21&lt;$B81),0,IF(AD$21=$B81,OpenYearShare,1)*($N81*ContribMargin*IF(AD$21=$B81,Ramp1,IF(AD$21=$B81+1,Ramp2,1))-$P81-INDEX(LicByYear,AL81,AD$21)))</f>
        <v>0</v>
      </c>
      <c r="AF81" s="82">
        <f>AF80+IF($C81="SPLUS",1,0)</f>
        <v>7</v>
      </c>
      <c r="AG81" s="82">
        <f>AG80+IF($C81="S",1,0)</f>
        <v>15</v>
      </c>
      <c r="AH81" s="82">
        <f>AH80+IF($C81="D",1,0)</f>
        <v>8</v>
      </c>
      <c r="AI81" s="105">
        <f>IF(OR($A81&gt;PlanStores,AF80&gt;=INDEX(Target,1)),-1000000000,INDEX(Target,1)*$A81-AF80*PlanStores)</f>
        <v>-1000000000</v>
      </c>
      <c r="AJ81" s="105">
        <f>IF(OR($A81&gt;PlanStores,AG80&gt;=INDEX(Target,2)),-1000000000,INDEX(Target,2)*$A81-AG80*PlanStores)</f>
        <v>-1000000000</v>
      </c>
      <c r="AK81" s="105">
        <f>IF(OR($A81&gt;PlanStores,AH80&gt;=INDEX(Target,3)),-1000000000,INDEX(Target,3)*$A81-AH80*PlanStores)</f>
        <v>-1000000000</v>
      </c>
      <c r="AL81" s="82" t="str">
        <f>IF($C81="","",MATCH($C81,TierCodes,0))</f>
        <v/>
      </c>
      <c r="AM81" s="82" t="str">
        <f>IF($C81="","",IF(OR(StreetChoice="Typical street for its size",INDEX(Cand,AL81)=0),"",MOD($D81-1,INDEX(Cand,AL81))+1))</f>
        <v/>
      </c>
      <c r="AN81" s="82" t="str">
        <f>IF(AM81="","",MATCH($C81&amp;"|"&amp;AM81,Melbourne!$AA$58:$AA$135,0))</f>
        <v/>
      </c>
      <c r="AO81" s="76" t="str">
        <f>IF($C81="","",Ramp1*$N81*ContribMargin-$P81-INDEX(LicPlan,AL81))</f>
        <v/>
      </c>
      <c r="AP81" s="76" t="str">
        <f>IF($C81="","",Ramp2*$N81*ContribMargin-$P81-INDEX(LicPlan,AL81))</f>
        <v/>
      </c>
      <c r="AR81" s="61" t="str">
        <f>IF($C81="","",MAX(Scale!$C$7,($D81+Scale!$C$8*($A81-$D81))^LOG(Scale!$C$6,2)))</f>
        <v/>
      </c>
      <c r="AS81" s="61" t="str">
        <f>IF($C81="","",1-IF(IF(Deal="Commit to the full plan",PlanStores,$A81)&gt;=PBAt4,Scale!$C$12,IF(IF(Deal="Commit to the full plan",PlanStores,$A81)&gt;=PBAt3,Scale!$C$11,IF(IF(Deal="Commit to the full plan",PlanStores,$A81)&gt;=PBAt2,Scale!$C$10,IF(IF(Deal="Commit to the full plan",PlanStores,$A81)&gt;=PBAt1,Scale!$C$9,0)))))</f>
        <v/>
      </c>
      <c r="AT81" s="61" t="str">
        <f>IF($C81="","",MAX(Scale!$D$7,($D81+Scale!$D$8*($A81-$D81))^LOG(Scale!$D$6,2)))</f>
        <v/>
      </c>
      <c r="AU81" s="61" t="str">
        <f>IF($C81="","",1-IF(IF(Deal="Commit to the full plan",PlanStores,$A81)&gt;=PBAt4,Scale!$D$12,IF(IF(Deal="Commit to the full plan",PlanStores,$A81)&gt;=PBAt3,Scale!$D$11,IF(IF(Deal="Commit to the full plan",PlanStores,$A81)&gt;=PBAt2,Scale!$D$10,IF(IF(Deal="Commit to the full plan",PlanStores,$A81)&gt;=PBAt1,Scale!$D$9,0)))))</f>
        <v/>
      </c>
      <c r="AV81" s="61" t="str">
        <f>IF($C81="","",MAX(Scale!$E$7,($D81+Scale!$E$8*($A81-$D81))^LOG(Scale!$E$6,2)))</f>
        <v/>
      </c>
      <c r="AW81" s="61" t="str">
        <f>IF($C81="","",1-IF(IF(Deal="Commit to the full plan",PlanStores,$A81)&gt;=PBAt4,Scale!$E$12,IF(IF(Deal="Commit to the full plan",PlanStores,$A81)&gt;=PBAt3,Scale!$E$11,IF(IF(Deal="Commit to the full plan",PlanStores,$A81)&gt;=PBAt2,Scale!$E$10,IF(IF(Deal="Commit to the full plan",PlanStores,$A81)&gt;=PBAt1,Scale!$E$9,0)))))</f>
        <v/>
      </c>
    </row>
    <row r="82">
      <c r="A82" s="110" t="n">
        <v>61</v>
      </c>
      <c r="B82" s="111" t="str">
        <f>IF($A82&gt;PlanStores,"",1+COUNTIF(CumOpenings,"&lt;"&amp;$A82))</f>
        <v/>
      </c>
      <c r="C82" s="14" t="str">
        <f>IF($A82&gt;PlanStores,"",IF(AND($A82=1,FlagshipFirst="Yes",INDEX(Target,1)&gt;0),"SPLUS",IF(AND(AI82&gt;=AJ82,AI82&gt;=AK82),"SPLUS",IF(AJ82&gt;=AK82,"S","D"))))</f>
        <v/>
      </c>
      <c r="D82" s="111" t="str">
        <f>IF($C82="","",IF($C82="SPLUS",AF82,IF($C82="S",AG82,AH82)))</f>
        <v/>
      </c>
      <c r="E82" s="112" t="str">
        <f>IF($C82="","",$D82+LearnShared*($A82-$D82))</f>
        <v/>
      </c>
      <c r="F82" s="85" t="str">
        <f>IF($C82="","",MAX(LearnFloor,$E82^LOG(LearnRate,2)))</f>
        <v/>
      </c>
      <c r="G82" s="85" t="str">
        <f>IF($C82="","",1-IF(IF(Deal="Commit to the full plan",PlanStores,$A82)&gt;=PBAt4,PBDisc4,IF(IF(Deal="Commit to the full plan",PlanStores,$A82)&gt;=PBAt3,PBDisc3,IF(IF(Deal="Commit to the full plan",PlanStores,$A82)&gt;=PBAt2,PBDisc2,IF(IF(Deal="Commit to the full plan",PlanStores,$A82)&gt;=PBAt1,PBDisc1,0)))))</f>
        <v/>
      </c>
      <c r="H82" s="39" t="str">
        <f>IF($C82="","",INDEX(BaseL,AL82)*$F82+INDEX(BaseV,AL82)*$G82+INDEX(BaseN,AL82))</f>
        <v/>
      </c>
      <c r="I82" s="39" t="str">
        <f>IF($C82="","",$H82*(1+BuildInflation)^($B82-1))</f>
        <v/>
      </c>
      <c r="J82" s="40" t="str">
        <f>IF($C82="","",IF(AN82="",IF(INDEX(Cand,AL82)=0,"No street of this size","Typical "&amp;LOWER(INDEX(TierNames,AL82))&amp;" street"),INDEX(Melbourne!$B$58:$B$135,AN82)))</f>
        <v/>
      </c>
      <c r="K82" s="40" t="str">
        <f>IF(OR($C82="",AN82=""),"",INDEX(Melbourne!$C$58:$C$135,AN82))</f>
        <v/>
      </c>
      <c r="L82" s="46" t="str">
        <f>IF($C82="","",IF(AN82="",INDEX(TypicalF,AL82),INDEX(Melbourne!$E$58:$E$135,AN82)))</f>
        <v/>
      </c>
      <c r="M82" s="86" t="str">
        <f>IF($C82="","",IF(AN82="",INDEX(TypicalQ,AL82),INDEX(Melbourne!$N$58:$N$135,AN82)))</f>
        <v/>
      </c>
      <c r="N82" s="39" t="str">
        <f>IF($C82="","",MIN($L82*Capture*$M82*Conversion*Ticket,INDEX(CapacityPsf,AL82)*INDEX(Area,AL82)))</f>
        <v/>
      </c>
      <c r="O82" s="39" t="str">
        <f>IF($C82="","",INDEX(Area,AL82)*RentPsf*($L82/Fref)^RentElasticity)</f>
        <v/>
      </c>
      <c r="P82" s="39" t="str">
        <f>IF($C82="","",$O82+INDEX(RunOther,AL82))</f>
        <v/>
      </c>
      <c r="Q82" s="95" t="str">
        <f>IF($C82="","",$N82*ContribMargin-$P82-INDEX(LicPlan,AL82))</f>
        <v/>
      </c>
      <c r="R82" s="113" t="str">
        <f>IF($C82="","",IF(AND(AO82&gt;=$H82,AO82&gt;0),$H82/AO82,IF(AND(AO82+AP82&gt;=$H82,AP82&gt;0),1+($H82-AO82)/AP82,IF($Q82&gt;0,2+($H82-AO82-AP82)/$Q82,"Never"))))</f>
        <v/>
      </c>
      <c r="S82" s="39" t="str">
        <f>IF($C82="","",StockWeeks/52*$N82*(1-GrossMargin))</f>
        <v/>
      </c>
      <c r="U82" s="95">
        <f>IF(OR($C82="",U$21&lt;$B82),0,IF(U$21=$B82,OpenYearShare,1)*($N82*ContribMargin*IF(U$21=$B82,Ramp1,IF(U$21=$B82+1,Ramp2,1))-$P82-INDEX(LicByYear,AL82,U$21)))</f>
        <v>0</v>
      </c>
      <c r="V82" s="95">
        <f>IF(OR($C82="",V$21&lt;$B82),0,IF(V$21=$B82,OpenYearShare,1)*($N82*ContribMargin*IF(V$21=$B82,Ramp1,IF(V$21=$B82+1,Ramp2,1))-$P82-INDEX(LicByYear,AL82,V$21)))</f>
        <v>0</v>
      </c>
      <c r="W82" s="95">
        <f>IF(OR($C82="",W$21&lt;$B82),0,IF(W$21=$B82,OpenYearShare,1)*($N82*ContribMargin*IF(W$21=$B82,Ramp1,IF(W$21=$B82+1,Ramp2,1))-$P82-INDEX(LicByYear,AL82,W$21)))</f>
        <v>0</v>
      </c>
      <c r="X82" s="95">
        <f>IF(OR($C82="",X$21&lt;$B82),0,IF(X$21=$B82,OpenYearShare,1)*($N82*ContribMargin*IF(X$21=$B82,Ramp1,IF(X$21=$B82+1,Ramp2,1))-$P82-INDEX(LicByYear,AL82,X$21)))</f>
        <v>0</v>
      </c>
      <c r="Y82" s="95">
        <f>IF(OR($C82="",Y$21&lt;$B82),0,IF(Y$21=$B82,OpenYearShare,1)*($N82*ContribMargin*IF(Y$21=$B82,Ramp1,IF(Y$21=$B82+1,Ramp2,1))-$P82-INDEX(LicByYear,AL82,Y$21)))</f>
        <v>0</v>
      </c>
      <c r="Z82" s="95">
        <f>IF(OR($C82="",Z$21&lt;$B82),0,IF(Z$21=$B82,OpenYearShare,1)*($N82*ContribMargin*IF(Z$21=$B82,Ramp1,IF(Z$21=$B82+1,Ramp2,1))-$P82-INDEX(LicByYear,AL82,Z$21)))</f>
        <v>0</v>
      </c>
      <c r="AA82" s="95">
        <f>IF(OR($C82="",AA$21&lt;$B82),0,IF(AA$21=$B82,OpenYearShare,1)*($N82*ContribMargin*IF(AA$21=$B82,Ramp1,IF(AA$21=$B82+1,Ramp2,1))-$P82-INDEX(LicByYear,AL82,AA$21)))</f>
        <v>0</v>
      </c>
      <c r="AB82" s="95">
        <f>IF(OR($C82="",AB$21&lt;$B82),0,IF(AB$21=$B82,OpenYearShare,1)*($N82*ContribMargin*IF(AB$21=$B82,Ramp1,IF(AB$21=$B82+1,Ramp2,1))-$P82-INDEX(LicByYear,AL82,AB$21)))</f>
        <v>0</v>
      </c>
      <c r="AC82" s="95">
        <f>IF(OR($C82="",AC$21&lt;$B82),0,IF(AC$21=$B82,OpenYearShare,1)*($N82*ContribMargin*IF(AC$21=$B82,Ramp1,IF(AC$21=$B82+1,Ramp2,1))-$P82-INDEX(LicByYear,AL82,AC$21)))</f>
        <v>0</v>
      </c>
      <c r="AD82" s="95">
        <f>IF(OR($C82="",AD$21&lt;$B82),0,IF(AD$21=$B82,OpenYearShare,1)*($N82*ContribMargin*IF(AD$21=$B82,Ramp1,IF(AD$21=$B82+1,Ramp2,1))-$P82-INDEX(LicByYear,AL82,AD$21)))</f>
        <v>0</v>
      </c>
      <c r="AF82" s="82">
        <f>AF81+IF($C82="SPLUS",1,0)</f>
        <v>7</v>
      </c>
      <c r="AG82" s="82">
        <f>AG81+IF($C82="S",1,0)</f>
        <v>15</v>
      </c>
      <c r="AH82" s="82">
        <f>AH81+IF($C82="D",1,0)</f>
        <v>8</v>
      </c>
      <c r="AI82" s="105">
        <f>IF(OR($A82&gt;PlanStores,AF81&gt;=INDEX(Target,1)),-1000000000,INDEX(Target,1)*$A82-AF81*PlanStores)</f>
        <v>-1000000000</v>
      </c>
      <c r="AJ82" s="105">
        <f>IF(OR($A82&gt;PlanStores,AG81&gt;=INDEX(Target,2)),-1000000000,INDEX(Target,2)*$A82-AG81*PlanStores)</f>
        <v>-1000000000</v>
      </c>
      <c r="AK82" s="105">
        <f>IF(OR($A82&gt;PlanStores,AH81&gt;=INDEX(Target,3)),-1000000000,INDEX(Target,3)*$A82-AH81*PlanStores)</f>
        <v>-1000000000</v>
      </c>
      <c r="AL82" s="82" t="str">
        <f>IF($C82="","",MATCH($C82,TierCodes,0))</f>
        <v/>
      </c>
      <c r="AM82" s="82" t="str">
        <f>IF($C82="","",IF(OR(StreetChoice="Typical street for its size",INDEX(Cand,AL82)=0),"",MOD($D82-1,INDEX(Cand,AL82))+1))</f>
        <v/>
      </c>
      <c r="AN82" s="82" t="str">
        <f>IF(AM82="","",MATCH($C82&amp;"|"&amp;AM82,Melbourne!$AA$58:$AA$135,0))</f>
        <v/>
      </c>
      <c r="AO82" s="76" t="str">
        <f>IF($C82="","",Ramp1*$N82*ContribMargin-$P82-INDEX(LicPlan,AL82))</f>
        <v/>
      </c>
      <c r="AP82" s="76" t="str">
        <f>IF($C82="","",Ramp2*$N82*ContribMargin-$P82-INDEX(LicPlan,AL82))</f>
        <v/>
      </c>
      <c r="AR82" s="61" t="str">
        <f>IF($C82="","",MAX(Scale!$C$7,($D82+Scale!$C$8*($A82-$D82))^LOG(Scale!$C$6,2)))</f>
        <v/>
      </c>
      <c r="AS82" s="61" t="str">
        <f>IF($C82="","",1-IF(IF(Deal="Commit to the full plan",PlanStores,$A82)&gt;=PBAt4,Scale!$C$12,IF(IF(Deal="Commit to the full plan",PlanStores,$A82)&gt;=PBAt3,Scale!$C$11,IF(IF(Deal="Commit to the full plan",PlanStores,$A82)&gt;=PBAt2,Scale!$C$10,IF(IF(Deal="Commit to the full plan",PlanStores,$A82)&gt;=PBAt1,Scale!$C$9,0)))))</f>
        <v/>
      </c>
      <c r="AT82" s="61" t="str">
        <f>IF($C82="","",MAX(Scale!$D$7,($D82+Scale!$D$8*($A82-$D82))^LOG(Scale!$D$6,2)))</f>
        <v/>
      </c>
      <c r="AU82" s="61" t="str">
        <f>IF($C82="","",1-IF(IF(Deal="Commit to the full plan",PlanStores,$A82)&gt;=PBAt4,Scale!$D$12,IF(IF(Deal="Commit to the full plan",PlanStores,$A82)&gt;=PBAt3,Scale!$D$11,IF(IF(Deal="Commit to the full plan",PlanStores,$A82)&gt;=PBAt2,Scale!$D$10,IF(IF(Deal="Commit to the full plan",PlanStores,$A82)&gt;=PBAt1,Scale!$D$9,0)))))</f>
        <v/>
      </c>
      <c r="AV82" s="61" t="str">
        <f>IF($C82="","",MAX(Scale!$E$7,($D82+Scale!$E$8*($A82-$D82))^LOG(Scale!$E$6,2)))</f>
        <v/>
      </c>
      <c r="AW82" s="61" t="str">
        <f>IF($C82="","",1-IF(IF(Deal="Commit to the full plan",PlanStores,$A82)&gt;=PBAt4,Scale!$E$12,IF(IF(Deal="Commit to the full plan",PlanStores,$A82)&gt;=PBAt3,Scale!$E$11,IF(IF(Deal="Commit to the full plan",PlanStores,$A82)&gt;=PBAt2,Scale!$E$10,IF(IF(Deal="Commit to the full plan",PlanStores,$A82)&gt;=PBAt1,Scale!$E$9,0)))))</f>
        <v/>
      </c>
    </row>
    <row r="83">
      <c r="A83" s="110" t="n">
        <v>62</v>
      </c>
      <c r="B83" s="111" t="str">
        <f>IF($A83&gt;PlanStores,"",1+COUNTIF(CumOpenings,"&lt;"&amp;$A83))</f>
        <v/>
      </c>
      <c r="C83" s="14" t="str">
        <f>IF($A83&gt;PlanStores,"",IF(AND($A83=1,FlagshipFirst="Yes",INDEX(Target,1)&gt;0),"SPLUS",IF(AND(AI83&gt;=AJ83,AI83&gt;=AK83),"SPLUS",IF(AJ83&gt;=AK83,"S","D"))))</f>
        <v/>
      </c>
      <c r="D83" s="111" t="str">
        <f>IF($C83="","",IF($C83="SPLUS",AF83,IF($C83="S",AG83,AH83)))</f>
        <v/>
      </c>
      <c r="E83" s="112" t="str">
        <f>IF($C83="","",$D83+LearnShared*($A83-$D83))</f>
        <v/>
      </c>
      <c r="F83" s="85" t="str">
        <f>IF($C83="","",MAX(LearnFloor,$E83^LOG(LearnRate,2)))</f>
        <v/>
      </c>
      <c r="G83" s="85" t="str">
        <f>IF($C83="","",1-IF(IF(Deal="Commit to the full plan",PlanStores,$A83)&gt;=PBAt4,PBDisc4,IF(IF(Deal="Commit to the full plan",PlanStores,$A83)&gt;=PBAt3,PBDisc3,IF(IF(Deal="Commit to the full plan",PlanStores,$A83)&gt;=PBAt2,PBDisc2,IF(IF(Deal="Commit to the full plan",PlanStores,$A83)&gt;=PBAt1,PBDisc1,0)))))</f>
        <v/>
      </c>
      <c r="H83" s="39" t="str">
        <f>IF($C83="","",INDEX(BaseL,AL83)*$F83+INDEX(BaseV,AL83)*$G83+INDEX(BaseN,AL83))</f>
        <v/>
      </c>
      <c r="I83" s="39" t="str">
        <f>IF($C83="","",$H83*(1+BuildInflation)^($B83-1))</f>
        <v/>
      </c>
      <c r="J83" s="40" t="str">
        <f>IF($C83="","",IF(AN83="",IF(INDEX(Cand,AL83)=0,"No street of this size","Typical "&amp;LOWER(INDEX(TierNames,AL83))&amp;" street"),INDEX(Melbourne!$B$58:$B$135,AN83)))</f>
        <v/>
      </c>
      <c r="K83" s="40" t="str">
        <f>IF(OR($C83="",AN83=""),"",INDEX(Melbourne!$C$58:$C$135,AN83))</f>
        <v/>
      </c>
      <c r="L83" s="46" t="str">
        <f>IF($C83="","",IF(AN83="",INDEX(TypicalF,AL83),INDEX(Melbourne!$E$58:$E$135,AN83)))</f>
        <v/>
      </c>
      <c r="M83" s="86" t="str">
        <f>IF($C83="","",IF(AN83="",INDEX(TypicalQ,AL83),INDEX(Melbourne!$N$58:$N$135,AN83)))</f>
        <v/>
      </c>
      <c r="N83" s="39" t="str">
        <f>IF($C83="","",MIN($L83*Capture*$M83*Conversion*Ticket,INDEX(CapacityPsf,AL83)*INDEX(Area,AL83)))</f>
        <v/>
      </c>
      <c r="O83" s="39" t="str">
        <f>IF($C83="","",INDEX(Area,AL83)*RentPsf*($L83/Fref)^RentElasticity)</f>
        <v/>
      </c>
      <c r="P83" s="39" t="str">
        <f>IF($C83="","",$O83+INDEX(RunOther,AL83))</f>
        <v/>
      </c>
      <c r="Q83" s="95" t="str">
        <f>IF($C83="","",$N83*ContribMargin-$P83-INDEX(LicPlan,AL83))</f>
        <v/>
      </c>
      <c r="R83" s="113" t="str">
        <f>IF($C83="","",IF(AND(AO83&gt;=$H83,AO83&gt;0),$H83/AO83,IF(AND(AO83+AP83&gt;=$H83,AP83&gt;0),1+($H83-AO83)/AP83,IF($Q83&gt;0,2+($H83-AO83-AP83)/$Q83,"Never"))))</f>
        <v/>
      </c>
      <c r="S83" s="39" t="str">
        <f>IF($C83="","",StockWeeks/52*$N83*(1-GrossMargin))</f>
        <v/>
      </c>
      <c r="U83" s="95">
        <f>IF(OR($C83="",U$21&lt;$B83),0,IF(U$21=$B83,OpenYearShare,1)*($N83*ContribMargin*IF(U$21=$B83,Ramp1,IF(U$21=$B83+1,Ramp2,1))-$P83-INDEX(LicByYear,AL83,U$21)))</f>
        <v>0</v>
      </c>
      <c r="V83" s="95">
        <f>IF(OR($C83="",V$21&lt;$B83),0,IF(V$21=$B83,OpenYearShare,1)*($N83*ContribMargin*IF(V$21=$B83,Ramp1,IF(V$21=$B83+1,Ramp2,1))-$P83-INDEX(LicByYear,AL83,V$21)))</f>
        <v>0</v>
      </c>
      <c r="W83" s="95">
        <f>IF(OR($C83="",W$21&lt;$B83),0,IF(W$21=$B83,OpenYearShare,1)*($N83*ContribMargin*IF(W$21=$B83,Ramp1,IF(W$21=$B83+1,Ramp2,1))-$P83-INDEX(LicByYear,AL83,W$21)))</f>
        <v>0</v>
      </c>
      <c r="X83" s="95">
        <f>IF(OR($C83="",X$21&lt;$B83),0,IF(X$21=$B83,OpenYearShare,1)*($N83*ContribMargin*IF(X$21=$B83,Ramp1,IF(X$21=$B83+1,Ramp2,1))-$P83-INDEX(LicByYear,AL83,X$21)))</f>
        <v>0</v>
      </c>
      <c r="Y83" s="95">
        <f>IF(OR($C83="",Y$21&lt;$B83),0,IF(Y$21=$B83,OpenYearShare,1)*($N83*ContribMargin*IF(Y$21=$B83,Ramp1,IF(Y$21=$B83+1,Ramp2,1))-$P83-INDEX(LicByYear,AL83,Y$21)))</f>
        <v>0</v>
      </c>
      <c r="Z83" s="95">
        <f>IF(OR($C83="",Z$21&lt;$B83),0,IF(Z$21=$B83,OpenYearShare,1)*($N83*ContribMargin*IF(Z$21=$B83,Ramp1,IF(Z$21=$B83+1,Ramp2,1))-$P83-INDEX(LicByYear,AL83,Z$21)))</f>
        <v>0</v>
      </c>
      <c r="AA83" s="95">
        <f>IF(OR($C83="",AA$21&lt;$B83),0,IF(AA$21=$B83,OpenYearShare,1)*($N83*ContribMargin*IF(AA$21=$B83,Ramp1,IF(AA$21=$B83+1,Ramp2,1))-$P83-INDEX(LicByYear,AL83,AA$21)))</f>
        <v>0</v>
      </c>
      <c r="AB83" s="95">
        <f>IF(OR($C83="",AB$21&lt;$B83),0,IF(AB$21=$B83,OpenYearShare,1)*($N83*ContribMargin*IF(AB$21=$B83,Ramp1,IF(AB$21=$B83+1,Ramp2,1))-$P83-INDEX(LicByYear,AL83,AB$21)))</f>
        <v>0</v>
      </c>
      <c r="AC83" s="95">
        <f>IF(OR($C83="",AC$21&lt;$B83),0,IF(AC$21=$B83,OpenYearShare,1)*($N83*ContribMargin*IF(AC$21=$B83,Ramp1,IF(AC$21=$B83+1,Ramp2,1))-$P83-INDEX(LicByYear,AL83,AC$21)))</f>
        <v>0</v>
      </c>
      <c r="AD83" s="95">
        <f>IF(OR($C83="",AD$21&lt;$B83),0,IF(AD$21=$B83,OpenYearShare,1)*($N83*ContribMargin*IF(AD$21=$B83,Ramp1,IF(AD$21=$B83+1,Ramp2,1))-$P83-INDEX(LicByYear,AL83,AD$21)))</f>
        <v>0</v>
      </c>
      <c r="AF83" s="82">
        <f>AF82+IF($C83="SPLUS",1,0)</f>
        <v>7</v>
      </c>
      <c r="AG83" s="82">
        <f>AG82+IF($C83="S",1,0)</f>
        <v>15</v>
      </c>
      <c r="AH83" s="82">
        <f>AH82+IF($C83="D",1,0)</f>
        <v>8</v>
      </c>
      <c r="AI83" s="105">
        <f>IF(OR($A83&gt;PlanStores,AF82&gt;=INDEX(Target,1)),-1000000000,INDEX(Target,1)*$A83-AF82*PlanStores)</f>
        <v>-1000000000</v>
      </c>
      <c r="AJ83" s="105">
        <f>IF(OR($A83&gt;PlanStores,AG82&gt;=INDEX(Target,2)),-1000000000,INDEX(Target,2)*$A83-AG82*PlanStores)</f>
        <v>-1000000000</v>
      </c>
      <c r="AK83" s="105">
        <f>IF(OR($A83&gt;PlanStores,AH82&gt;=INDEX(Target,3)),-1000000000,INDEX(Target,3)*$A83-AH82*PlanStores)</f>
        <v>-1000000000</v>
      </c>
      <c r="AL83" s="82" t="str">
        <f>IF($C83="","",MATCH($C83,TierCodes,0))</f>
        <v/>
      </c>
      <c r="AM83" s="82" t="str">
        <f>IF($C83="","",IF(OR(StreetChoice="Typical street for its size",INDEX(Cand,AL83)=0),"",MOD($D83-1,INDEX(Cand,AL83))+1))</f>
        <v/>
      </c>
      <c r="AN83" s="82" t="str">
        <f>IF(AM83="","",MATCH($C83&amp;"|"&amp;AM83,Melbourne!$AA$58:$AA$135,0))</f>
        <v/>
      </c>
      <c r="AO83" s="76" t="str">
        <f>IF($C83="","",Ramp1*$N83*ContribMargin-$P83-INDEX(LicPlan,AL83))</f>
        <v/>
      </c>
      <c r="AP83" s="76" t="str">
        <f>IF($C83="","",Ramp2*$N83*ContribMargin-$P83-INDEX(LicPlan,AL83))</f>
        <v/>
      </c>
      <c r="AR83" s="61" t="str">
        <f>IF($C83="","",MAX(Scale!$C$7,($D83+Scale!$C$8*($A83-$D83))^LOG(Scale!$C$6,2)))</f>
        <v/>
      </c>
      <c r="AS83" s="61" t="str">
        <f>IF($C83="","",1-IF(IF(Deal="Commit to the full plan",PlanStores,$A83)&gt;=PBAt4,Scale!$C$12,IF(IF(Deal="Commit to the full plan",PlanStores,$A83)&gt;=PBAt3,Scale!$C$11,IF(IF(Deal="Commit to the full plan",PlanStores,$A83)&gt;=PBAt2,Scale!$C$10,IF(IF(Deal="Commit to the full plan",PlanStores,$A83)&gt;=PBAt1,Scale!$C$9,0)))))</f>
        <v/>
      </c>
      <c r="AT83" s="61" t="str">
        <f>IF($C83="","",MAX(Scale!$D$7,($D83+Scale!$D$8*($A83-$D83))^LOG(Scale!$D$6,2)))</f>
        <v/>
      </c>
      <c r="AU83" s="61" t="str">
        <f>IF($C83="","",1-IF(IF(Deal="Commit to the full plan",PlanStores,$A83)&gt;=PBAt4,Scale!$D$12,IF(IF(Deal="Commit to the full plan",PlanStores,$A83)&gt;=PBAt3,Scale!$D$11,IF(IF(Deal="Commit to the full plan",PlanStores,$A83)&gt;=PBAt2,Scale!$D$10,IF(IF(Deal="Commit to the full plan",PlanStores,$A83)&gt;=PBAt1,Scale!$D$9,0)))))</f>
        <v/>
      </c>
      <c r="AV83" s="61" t="str">
        <f>IF($C83="","",MAX(Scale!$E$7,($D83+Scale!$E$8*($A83-$D83))^LOG(Scale!$E$6,2)))</f>
        <v/>
      </c>
      <c r="AW83" s="61" t="str">
        <f>IF($C83="","",1-IF(IF(Deal="Commit to the full plan",PlanStores,$A83)&gt;=PBAt4,Scale!$E$12,IF(IF(Deal="Commit to the full plan",PlanStores,$A83)&gt;=PBAt3,Scale!$E$11,IF(IF(Deal="Commit to the full plan",PlanStores,$A83)&gt;=PBAt2,Scale!$E$10,IF(IF(Deal="Commit to the full plan",PlanStores,$A83)&gt;=PBAt1,Scale!$E$9,0)))))</f>
        <v/>
      </c>
    </row>
    <row r="84">
      <c r="A84" s="110" t="n">
        <v>63</v>
      </c>
      <c r="B84" s="111" t="str">
        <f>IF($A84&gt;PlanStores,"",1+COUNTIF(CumOpenings,"&lt;"&amp;$A84))</f>
        <v/>
      </c>
      <c r="C84" s="14" t="str">
        <f>IF($A84&gt;PlanStores,"",IF(AND($A84=1,FlagshipFirst="Yes",INDEX(Target,1)&gt;0),"SPLUS",IF(AND(AI84&gt;=AJ84,AI84&gt;=AK84),"SPLUS",IF(AJ84&gt;=AK84,"S","D"))))</f>
        <v/>
      </c>
      <c r="D84" s="111" t="str">
        <f>IF($C84="","",IF($C84="SPLUS",AF84,IF($C84="S",AG84,AH84)))</f>
        <v/>
      </c>
      <c r="E84" s="112" t="str">
        <f>IF($C84="","",$D84+LearnShared*($A84-$D84))</f>
        <v/>
      </c>
      <c r="F84" s="85" t="str">
        <f>IF($C84="","",MAX(LearnFloor,$E84^LOG(LearnRate,2)))</f>
        <v/>
      </c>
      <c r="G84" s="85" t="str">
        <f>IF($C84="","",1-IF(IF(Deal="Commit to the full plan",PlanStores,$A84)&gt;=PBAt4,PBDisc4,IF(IF(Deal="Commit to the full plan",PlanStores,$A84)&gt;=PBAt3,PBDisc3,IF(IF(Deal="Commit to the full plan",PlanStores,$A84)&gt;=PBAt2,PBDisc2,IF(IF(Deal="Commit to the full plan",PlanStores,$A84)&gt;=PBAt1,PBDisc1,0)))))</f>
        <v/>
      </c>
      <c r="H84" s="39" t="str">
        <f>IF($C84="","",INDEX(BaseL,AL84)*$F84+INDEX(BaseV,AL84)*$G84+INDEX(BaseN,AL84))</f>
        <v/>
      </c>
      <c r="I84" s="39" t="str">
        <f>IF($C84="","",$H84*(1+BuildInflation)^($B84-1))</f>
        <v/>
      </c>
      <c r="J84" s="40" t="str">
        <f>IF($C84="","",IF(AN84="",IF(INDEX(Cand,AL84)=0,"No street of this size","Typical "&amp;LOWER(INDEX(TierNames,AL84))&amp;" street"),INDEX(Melbourne!$B$58:$B$135,AN84)))</f>
        <v/>
      </c>
      <c r="K84" s="40" t="str">
        <f>IF(OR($C84="",AN84=""),"",INDEX(Melbourne!$C$58:$C$135,AN84))</f>
        <v/>
      </c>
      <c r="L84" s="46" t="str">
        <f>IF($C84="","",IF(AN84="",INDEX(TypicalF,AL84),INDEX(Melbourne!$E$58:$E$135,AN84)))</f>
        <v/>
      </c>
      <c r="M84" s="86" t="str">
        <f>IF($C84="","",IF(AN84="",INDEX(TypicalQ,AL84),INDEX(Melbourne!$N$58:$N$135,AN84)))</f>
        <v/>
      </c>
      <c r="N84" s="39" t="str">
        <f>IF($C84="","",MIN($L84*Capture*$M84*Conversion*Ticket,INDEX(CapacityPsf,AL84)*INDEX(Area,AL84)))</f>
        <v/>
      </c>
      <c r="O84" s="39" t="str">
        <f>IF($C84="","",INDEX(Area,AL84)*RentPsf*($L84/Fref)^RentElasticity)</f>
        <v/>
      </c>
      <c r="P84" s="39" t="str">
        <f>IF($C84="","",$O84+INDEX(RunOther,AL84))</f>
        <v/>
      </c>
      <c r="Q84" s="95" t="str">
        <f>IF($C84="","",$N84*ContribMargin-$P84-INDEX(LicPlan,AL84))</f>
        <v/>
      </c>
      <c r="R84" s="113" t="str">
        <f>IF($C84="","",IF(AND(AO84&gt;=$H84,AO84&gt;0),$H84/AO84,IF(AND(AO84+AP84&gt;=$H84,AP84&gt;0),1+($H84-AO84)/AP84,IF($Q84&gt;0,2+($H84-AO84-AP84)/$Q84,"Never"))))</f>
        <v/>
      </c>
      <c r="S84" s="39" t="str">
        <f>IF($C84="","",StockWeeks/52*$N84*(1-GrossMargin))</f>
        <v/>
      </c>
      <c r="U84" s="95">
        <f>IF(OR($C84="",U$21&lt;$B84),0,IF(U$21=$B84,OpenYearShare,1)*($N84*ContribMargin*IF(U$21=$B84,Ramp1,IF(U$21=$B84+1,Ramp2,1))-$P84-INDEX(LicByYear,AL84,U$21)))</f>
        <v>0</v>
      </c>
      <c r="V84" s="95">
        <f>IF(OR($C84="",V$21&lt;$B84),0,IF(V$21=$B84,OpenYearShare,1)*($N84*ContribMargin*IF(V$21=$B84,Ramp1,IF(V$21=$B84+1,Ramp2,1))-$P84-INDEX(LicByYear,AL84,V$21)))</f>
        <v>0</v>
      </c>
      <c r="W84" s="95">
        <f>IF(OR($C84="",W$21&lt;$B84),0,IF(W$21=$B84,OpenYearShare,1)*($N84*ContribMargin*IF(W$21=$B84,Ramp1,IF(W$21=$B84+1,Ramp2,1))-$P84-INDEX(LicByYear,AL84,W$21)))</f>
        <v>0</v>
      </c>
      <c r="X84" s="95">
        <f>IF(OR($C84="",X$21&lt;$B84),0,IF(X$21=$B84,OpenYearShare,1)*($N84*ContribMargin*IF(X$21=$B84,Ramp1,IF(X$21=$B84+1,Ramp2,1))-$P84-INDEX(LicByYear,AL84,X$21)))</f>
        <v>0</v>
      </c>
      <c r="Y84" s="95">
        <f>IF(OR($C84="",Y$21&lt;$B84),0,IF(Y$21=$B84,OpenYearShare,1)*($N84*ContribMargin*IF(Y$21=$B84,Ramp1,IF(Y$21=$B84+1,Ramp2,1))-$P84-INDEX(LicByYear,AL84,Y$21)))</f>
        <v>0</v>
      </c>
      <c r="Z84" s="95">
        <f>IF(OR($C84="",Z$21&lt;$B84),0,IF(Z$21=$B84,OpenYearShare,1)*($N84*ContribMargin*IF(Z$21=$B84,Ramp1,IF(Z$21=$B84+1,Ramp2,1))-$P84-INDEX(LicByYear,AL84,Z$21)))</f>
        <v>0</v>
      </c>
      <c r="AA84" s="95">
        <f>IF(OR($C84="",AA$21&lt;$B84),0,IF(AA$21=$B84,OpenYearShare,1)*($N84*ContribMargin*IF(AA$21=$B84,Ramp1,IF(AA$21=$B84+1,Ramp2,1))-$P84-INDEX(LicByYear,AL84,AA$21)))</f>
        <v>0</v>
      </c>
      <c r="AB84" s="95">
        <f>IF(OR($C84="",AB$21&lt;$B84),0,IF(AB$21=$B84,OpenYearShare,1)*($N84*ContribMargin*IF(AB$21=$B84,Ramp1,IF(AB$21=$B84+1,Ramp2,1))-$P84-INDEX(LicByYear,AL84,AB$21)))</f>
        <v>0</v>
      </c>
      <c r="AC84" s="95">
        <f>IF(OR($C84="",AC$21&lt;$B84),0,IF(AC$21=$B84,OpenYearShare,1)*($N84*ContribMargin*IF(AC$21=$B84,Ramp1,IF(AC$21=$B84+1,Ramp2,1))-$P84-INDEX(LicByYear,AL84,AC$21)))</f>
        <v>0</v>
      </c>
      <c r="AD84" s="95">
        <f>IF(OR($C84="",AD$21&lt;$B84),0,IF(AD$21=$B84,OpenYearShare,1)*($N84*ContribMargin*IF(AD$21=$B84,Ramp1,IF(AD$21=$B84+1,Ramp2,1))-$P84-INDEX(LicByYear,AL84,AD$21)))</f>
        <v>0</v>
      </c>
      <c r="AF84" s="82">
        <f>AF83+IF($C84="SPLUS",1,0)</f>
        <v>7</v>
      </c>
      <c r="AG84" s="82">
        <f>AG83+IF($C84="S",1,0)</f>
        <v>15</v>
      </c>
      <c r="AH84" s="82">
        <f>AH83+IF($C84="D",1,0)</f>
        <v>8</v>
      </c>
      <c r="AI84" s="105">
        <f>IF(OR($A84&gt;PlanStores,AF83&gt;=INDEX(Target,1)),-1000000000,INDEX(Target,1)*$A84-AF83*PlanStores)</f>
        <v>-1000000000</v>
      </c>
      <c r="AJ84" s="105">
        <f>IF(OR($A84&gt;PlanStores,AG83&gt;=INDEX(Target,2)),-1000000000,INDEX(Target,2)*$A84-AG83*PlanStores)</f>
        <v>-1000000000</v>
      </c>
      <c r="AK84" s="105">
        <f>IF(OR($A84&gt;PlanStores,AH83&gt;=INDEX(Target,3)),-1000000000,INDEX(Target,3)*$A84-AH83*PlanStores)</f>
        <v>-1000000000</v>
      </c>
      <c r="AL84" s="82" t="str">
        <f>IF($C84="","",MATCH($C84,TierCodes,0))</f>
        <v/>
      </c>
      <c r="AM84" s="82" t="str">
        <f>IF($C84="","",IF(OR(StreetChoice="Typical street for its size",INDEX(Cand,AL84)=0),"",MOD($D84-1,INDEX(Cand,AL84))+1))</f>
        <v/>
      </c>
      <c r="AN84" s="82" t="str">
        <f>IF(AM84="","",MATCH($C84&amp;"|"&amp;AM84,Melbourne!$AA$58:$AA$135,0))</f>
        <v/>
      </c>
      <c r="AO84" s="76" t="str">
        <f>IF($C84="","",Ramp1*$N84*ContribMargin-$P84-INDEX(LicPlan,AL84))</f>
        <v/>
      </c>
      <c r="AP84" s="76" t="str">
        <f>IF($C84="","",Ramp2*$N84*ContribMargin-$P84-INDEX(LicPlan,AL84))</f>
        <v/>
      </c>
      <c r="AR84" s="61" t="str">
        <f>IF($C84="","",MAX(Scale!$C$7,($D84+Scale!$C$8*($A84-$D84))^LOG(Scale!$C$6,2)))</f>
        <v/>
      </c>
      <c r="AS84" s="61" t="str">
        <f>IF($C84="","",1-IF(IF(Deal="Commit to the full plan",PlanStores,$A84)&gt;=PBAt4,Scale!$C$12,IF(IF(Deal="Commit to the full plan",PlanStores,$A84)&gt;=PBAt3,Scale!$C$11,IF(IF(Deal="Commit to the full plan",PlanStores,$A84)&gt;=PBAt2,Scale!$C$10,IF(IF(Deal="Commit to the full plan",PlanStores,$A84)&gt;=PBAt1,Scale!$C$9,0)))))</f>
        <v/>
      </c>
      <c r="AT84" s="61" t="str">
        <f>IF($C84="","",MAX(Scale!$D$7,($D84+Scale!$D$8*($A84-$D84))^LOG(Scale!$D$6,2)))</f>
        <v/>
      </c>
      <c r="AU84" s="61" t="str">
        <f>IF($C84="","",1-IF(IF(Deal="Commit to the full plan",PlanStores,$A84)&gt;=PBAt4,Scale!$D$12,IF(IF(Deal="Commit to the full plan",PlanStores,$A84)&gt;=PBAt3,Scale!$D$11,IF(IF(Deal="Commit to the full plan",PlanStores,$A84)&gt;=PBAt2,Scale!$D$10,IF(IF(Deal="Commit to the full plan",PlanStores,$A84)&gt;=PBAt1,Scale!$D$9,0)))))</f>
        <v/>
      </c>
      <c r="AV84" s="61" t="str">
        <f>IF($C84="","",MAX(Scale!$E$7,($D84+Scale!$E$8*($A84-$D84))^LOG(Scale!$E$6,2)))</f>
        <v/>
      </c>
      <c r="AW84" s="61" t="str">
        <f>IF($C84="","",1-IF(IF(Deal="Commit to the full plan",PlanStores,$A84)&gt;=PBAt4,Scale!$E$12,IF(IF(Deal="Commit to the full plan",PlanStores,$A84)&gt;=PBAt3,Scale!$E$11,IF(IF(Deal="Commit to the full plan",PlanStores,$A84)&gt;=PBAt2,Scale!$E$10,IF(IF(Deal="Commit to the full plan",PlanStores,$A84)&gt;=PBAt1,Scale!$E$9,0)))))</f>
        <v/>
      </c>
    </row>
    <row r="85">
      <c r="A85" s="110" t="n">
        <v>64</v>
      </c>
      <c r="B85" s="111" t="str">
        <f>IF($A85&gt;PlanStores,"",1+COUNTIF(CumOpenings,"&lt;"&amp;$A85))</f>
        <v/>
      </c>
      <c r="C85" s="14" t="str">
        <f>IF($A85&gt;PlanStores,"",IF(AND($A85=1,FlagshipFirst="Yes",INDEX(Target,1)&gt;0),"SPLUS",IF(AND(AI85&gt;=AJ85,AI85&gt;=AK85),"SPLUS",IF(AJ85&gt;=AK85,"S","D"))))</f>
        <v/>
      </c>
      <c r="D85" s="111" t="str">
        <f>IF($C85="","",IF($C85="SPLUS",AF85,IF($C85="S",AG85,AH85)))</f>
        <v/>
      </c>
      <c r="E85" s="112" t="str">
        <f>IF($C85="","",$D85+LearnShared*($A85-$D85))</f>
        <v/>
      </c>
      <c r="F85" s="85" t="str">
        <f>IF($C85="","",MAX(LearnFloor,$E85^LOG(LearnRate,2)))</f>
        <v/>
      </c>
      <c r="G85" s="85" t="str">
        <f>IF($C85="","",1-IF(IF(Deal="Commit to the full plan",PlanStores,$A85)&gt;=PBAt4,PBDisc4,IF(IF(Deal="Commit to the full plan",PlanStores,$A85)&gt;=PBAt3,PBDisc3,IF(IF(Deal="Commit to the full plan",PlanStores,$A85)&gt;=PBAt2,PBDisc2,IF(IF(Deal="Commit to the full plan",PlanStores,$A85)&gt;=PBAt1,PBDisc1,0)))))</f>
        <v/>
      </c>
      <c r="H85" s="39" t="str">
        <f>IF($C85="","",INDEX(BaseL,AL85)*$F85+INDEX(BaseV,AL85)*$G85+INDEX(BaseN,AL85))</f>
        <v/>
      </c>
      <c r="I85" s="39" t="str">
        <f>IF($C85="","",$H85*(1+BuildInflation)^($B85-1))</f>
        <v/>
      </c>
      <c r="J85" s="40" t="str">
        <f>IF($C85="","",IF(AN85="",IF(INDEX(Cand,AL85)=0,"No street of this size","Typical "&amp;LOWER(INDEX(TierNames,AL85))&amp;" street"),INDEX(Melbourne!$B$58:$B$135,AN85)))</f>
        <v/>
      </c>
      <c r="K85" s="40" t="str">
        <f>IF(OR($C85="",AN85=""),"",INDEX(Melbourne!$C$58:$C$135,AN85))</f>
        <v/>
      </c>
      <c r="L85" s="46" t="str">
        <f>IF($C85="","",IF(AN85="",INDEX(TypicalF,AL85),INDEX(Melbourne!$E$58:$E$135,AN85)))</f>
        <v/>
      </c>
      <c r="M85" s="86" t="str">
        <f>IF($C85="","",IF(AN85="",INDEX(TypicalQ,AL85),INDEX(Melbourne!$N$58:$N$135,AN85)))</f>
        <v/>
      </c>
      <c r="N85" s="39" t="str">
        <f>IF($C85="","",MIN($L85*Capture*$M85*Conversion*Ticket,INDEX(CapacityPsf,AL85)*INDEX(Area,AL85)))</f>
        <v/>
      </c>
      <c r="O85" s="39" t="str">
        <f>IF($C85="","",INDEX(Area,AL85)*RentPsf*($L85/Fref)^RentElasticity)</f>
        <v/>
      </c>
      <c r="P85" s="39" t="str">
        <f>IF($C85="","",$O85+INDEX(RunOther,AL85))</f>
        <v/>
      </c>
      <c r="Q85" s="95" t="str">
        <f>IF($C85="","",$N85*ContribMargin-$P85-INDEX(LicPlan,AL85))</f>
        <v/>
      </c>
      <c r="R85" s="113" t="str">
        <f>IF($C85="","",IF(AND(AO85&gt;=$H85,AO85&gt;0),$H85/AO85,IF(AND(AO85+AP85&gt;=$H85,AP85&gt;0),1+($H85-AO85)/AP85,IF($Q85&gt;0,2+($H85-AO85-AP85)/$Q85,"Never"))))</f>
        <v/>
      </c>
      <c r="S85" s="39" t="str">
        <f>IF($C85="","",StockWeeks/52*$N85*(1-GrossMargin))</f>
        <v/>
      </c>
      <c r="U85" s="95">
        <f>IF(OR($C85="",U$21&lt;$B85),0,IF(U$21=$B85,OpenYearShare,1)*($N85*ContribMargin*IF(U$21=$B85,Ramp1,IF(U$21=$B85+1,Ramp2,1))-$P85-INDEX(LicByYear,AL85,U$21)))</f>
        <v>0</v>
      </c>
      <c r="V85" s="95">
        <f>IF(OR($C85="",V$21&lt;$B85),0,IF(V$21=$B85,OpenYearShare,1)*($N85*ContribMargin*IF(V$21=$B85,Ramp1,IF(V$21=$B85+1,Ramp2,1))-$P85-INDEX(LicByYear,AL85,V$21)))</f>
        <v>0</v>
      </c>
      <c r="W85" s="95">
        <f>IF(OR($C85="",W$21&lt;$B85),0,IF(W$21=$B85,OpenYearShare,1)*($N85*ContribMargin*IF(W$21=$B85,Ramp1,IF(W$21=$B85+1,Ramp2,1))-$P85-INDEX(LicByYear,AL85,W$21)))</f>
        <v>0</v>
      </c>
      <c r="X85" s="95">
        <f>IF(OR($C85="",X$21&lt;$B85),0,IF(X$21=$B85,OpenYearShare,1)*($N85*ContribMargin*IF(X$21=$B85,Ramp1,IF(X$21=$B85+1,Ramp2,1))-$P85-INDEX(LicByYear,AL85,X$21)))</f>
        <v>0</v>
      </c>
      <c r="Y85" s="95">
        <f>IF(OR($C85="",Y$21&lt;$B85),0,IF(Y$21=$B85,OpenYearShare,1)*($N85*ContribMargin*IF(Y$21=$B85,Ramp1,IF(Y$21=$B85+1,Ramp2,1))-$P85-INDEX(LicByYear,AL85,Y$21)))</f>
        <v>0</v>
      </c>
      <c r="Z85" s="95">
        <f>IF(OR($C85="",Z$21&lt;$B85),0,IF(Z$21=$B85,OpenYearShare,1)*($N85*ContribMargin*IF(Z$21=$B85,Ramp1,IF(Z$21=$B85+1,Ramp2,1))-$P85-INDEX(LicByYear,AL85,Z$21)))</f>
        <v>0</v>
      </c>
      <c r="AA85" s="95">
        <f>IF(OR($C85="",AA$21&lt;$B85),0,IF(AA$21=$B85,OpenYearShare,1)*($N85*ContribMargin*IF(AA$21=$B85,Ramp1,IF(AA$21=$B85+1,Ramp2,1))-$P85-INDEX(LicByYear,AL85,AA$21)))</f>
        <v>0</v>
      </c>
      <c r="AB85" s="95">
        <f>IF(OR($C85="",AB$21&lt;$B85),0,IF(AB$21=$B85,OpenYearShare,1)*($N85*ContribMargin*IF(AB$21=$B85,Ramp1,IF(AB$21=$B85+1,Ramp2,1))-$P85-INDEX(LicByYear,AL85,AB$21)))</f>
        <v>0</v>
      </c>
      <c r="AC85" s="95">
        <f>IF(OR($C85="",AC$21&lt;$B85),0,IF(AC$21=$B85,OpenYearShare,1)*($N85*ContribMargin*IF(AC$21=$B85,Ramp1,IF(AC$21=$B85+1,Ramp2,1))-$P85-INDEX(LicByYear,AL85,AC$21)))</f>
        <v>0</v>
      </c>
      <c r="AD85" s="95">
        <f>IF(OR($C85="",AD$21&lt;$B85),0,IF(AD$21=$B85,OpenYearShare,1)*($N85*ContribMargin*IF(AD$21=$B85,Ramp1,IF(AD$21=$B85+1,Ramp2,1))-$P85-INDEX(LicByYear,AL85,AD$21)))</f>
        <v>0</v>
      </c>
      <c r="AF85" s="82">
        <f>AF84+IF($C85="SPLUS",1,0)</f>
        <v>7</v>
      </c>
      <c r="AG85" s="82">
        <f>AG84+IF($C85="S",1,0)</f>
        <v>15</v>
      </c>
      <c r="AH85" s="82">
        <f>AH84+IF($C85="D",1,0)</f>
        <v>8</v>
      </c>
      <c r="AI85" s="105">
        <f>IF(OR($A85&gt;PlanStores,AF84&gt;=INDEX(Target,1)),-1000000000,INDEX(Target,1)*$A85-AF84*PlanStores)</f>
        <v>-1000000000</v>
      </c>
      <c r="AJ85" s="105">
        <f>IF(OR($A85&gt;PlanStores,AG84&gt;=INDEX(Target,2)),-1000000000,INDEX(Target,2)*$A85-AG84*PlanStores)</f>
        <v>-1000000000</v>
      </c>
      <c r="AK85" s="105">
        <f>IF(OR($A85&gt;PlanStores,AH84&gt;=INDEX(Target,3)),-1000000000,INDEX(Target,3)*$A85-AH84*PlanStores)</f>
        <v>-1000000000</v>
      </c>
      <c r="AL85" s="82" t="str">
        <f>IF($C85="","",MATCH($C85,TierCodes,0))</f>
        <v/>
      </c>
      <c r="AM85" s="82" t="str">
        <f>IF($C85="","",IF(OR(StreetChoice="Typical street for its size",INDEX(Cand,AL85)=0),"",MOD($D85-1,INDEX(Cand,AL85))+1))</f>
        <v/>
      </c>
      <c r="AN85" s="82" t="str">
        <f>IF(AM85="","",MATCH($C85&amp;"|"&amp;AM85,Melbourne!$AA$58:$AA$135,0))</f>
        <v/>
      </c>
      <c r="AO85" s="76" t="str">
        <f>IF($C85="","",Ramp1*$N85*ContribMargin-$P85-INDEX(LicPlan,AL85))</f>
        <v/>
      </c>
      <c r="AP85" s="76" t="str">
        <f>IF($C85="","",Ramp2*$N85*ContribMargin-$P85-INDEX(LicPlan,AL85))</f>
        <v/>
      </c>
      <c r="AR85" s="61" t="str">
        <f>IF($C85="","",MAX(Scale!$C$7,($D85+Scale!$C$8*($A85-$D85))^LOG(Scale!$C$6,2)))</f>
        <v/>
      </c>
      <c r="AS85" s="61" t="str">
        <f>IF($C85="","",1-IF(IF(Deal="Commit to the full plan",PlanStores,$A85)&gt;=PBAt4,Scale!$C$12,IF(IF(Deal="Commit to the full plan",PlanStores,$A85)&gt;=PBAt3,Scale!$C$11,IF(IF(Deal="Commit to the full plan",PlanStores,$A85)&gt;=PBAt2,Scale!$C$10,IF(IF(Deal="Commit to the full plan",PlanStores,$A85)&gt;=PBAt1,Scale!$C$9,0)))))</f>
        <v/>
      </c>
      <c r="AT85" s="61" t="str">
        <f>IF($C85="","",MAX(Scale!$D$7,($D85+Scale!$D$8*($A85-$D85))^LOG(Scale!$D$6,2)))</f>
        <v/>
      </c>
      <c r="AU85" s="61" t="str">
        <f>IF($C85="","",1-IF(IF(Deal="Commit to the full plan",PlanStores,$A85)&gt;=PBAt4,Scale!$D$12,IF(IF(Deal="Commit to the full plan",PlanStores,$A85)&gt;=PBAt3,Scale!$D$11,IF(IF(Deal="Commit to the full plan",PlanStores,$A85)&gt;=PBAt2,Scale!$D$10,IF(IF(Deal="Commit to the full plan",PlanStores,$A85)&gt;=PBAt1,Scale!$D$9,0)))))</f>
        <v/>
      </c>
      <c r="AV85" s="61" t="str">
        <f>IF($C85="","",MAX(Scale!$E$7,($D85+Scale!$E$8*($A85-$D85))^LOG(Scale!$E$6,2)))</f>
        <v/>
      </c>
      <c r="AW85" s="61" t="str">
        <f>IF($C85="","",1-IF(IF(Deal="Commit to the full plan",PlanStores,$A85)&gt;=PBAt4,Scale!$E$12,IF(IF(Deal="Commit to the full plan",PlanStores,$A85)&gt;=PBAt3,Scale!$E$11,IF(IF(Deal="Commit to the full plan",PlanStores,$A85)&gt;=PBAt2,Scale!$E$10,IF(IF(Deal="Commit to the full plan",PlanStores,$A85)&gt;=PBAt1,Scale!$E$9,0)))))</f>
        <v/>
      </c>
    </row>
    <row r="86">
      <c r="A86" s="110" t="n">
        <v>65</v>
      </c>
      <c r="B86" s="111" t="str">
        <f>IF($A86&gt;PlanStores,"",1+COUNTIF(CumOpenings,"&lt;"&amp;$A86))</f>
        <v/>
      </c>
      <c r="C86" s="14" t="str">
        <f>IF($A86&gt;PlanStores,"",IF(AND($A86=1,FlagshipFirst="Yes",INDEX(Target,1)&gt;0),"SPLUS",IF(AND(AI86&gt;=AJ86,AI86&gt;=AK86),"SPLUS",IF(AJ86&gt;=AK86,"S","D"))))</f>
        <v/>
      </c>
      <c r="D86" s="111" t="str">
        <f>IF($C86="","",IF($C86="SPLUS",AF86,IF($C86="S",AG86,AH86)))</f>
        <v/>
      </c>
      <c r="E86" s="112" t="str">
        <f>IF($C86="","",$D86+LearnShared*($A86-$D86))</f>
        <v/>
      </c>
      <c r="F86" s="85" t="str">
        <f>IF($C86="","",MAX(LearnFloor,$E86^LOG(LearnRate,2)))</f>
        <v/>
      </c>
      <c r="G86" s="85" t="str">
        <f>IF($C86="","",1-IF(IF(Deal="Commit to the full plan",PlanStores,$A86)&gt;=PBAt4,PBDisc4,IF(IF(Deal="Commit to the full plan",PlanStores,$A86)&gt;=PBAt3,PBDisc3,IF(IF(Deal="Commit to the full plan",PlanStores,$A86)&gt;=PBAt2,PBDisc2,IF(IF(Deal="Commit to the full plan",PlanStores,$A86)&gt;=PBAt1,PBDisc1,0)))))</f>
        <v/>
      </c>
      <c r="H86" s="39" t="str">
        <f>IF($C86="","",INDEX(BaseL,AL86)*$F86+INDEX(BaseV,AL86)*$G86+INDEX(BaseN,AL86))</f>
        <v/>
      </c>
      <c r="I86" s="39" t="str">
        <f>IF($C86="","",$H86*(1+BuildInflation)^($B86-1))</f>
        <v/>
      </c>
      <c r="J86" s="40" t="str">
        <f>IF($C86="","",IF(AN86="",IF(INDEX(Cand,AL86)=0,"No street of this size","Typical "&amp;LOWER(INDEX(TierNames,AL86))&amp;" street"),INDEX(Melbourne!$B$58:$B$135,AN86)))</f>
        <v/>
      </c>
      <c r="K86" s="40" t="str">
        <f>IF(OR($C86="",AN86=""),"",INDEX(Melbourne!$C$58:$C$135,AN86))</f>
        <v/>
      </c>
      <c r="L86" s="46" t="str">
        <f>IF($C86="","",IF(AN86="",INDEX(TypicalF,AL86),INDEX(Melbourne!$E$58:$E$135,AN86)))</f>
        <v/>
      </c>
      <c r="M86" s="86" t="str">
        <f>IF($C86="","",IF(AN86="",INDEX(TypicalQ,AL86),INDEX(Melbourne!$N$58:$N$135,AN86)))</f>
        <v/>
      </c>
      <c r="N86" s="39" t="str">
        <f>IF($C86="","",MIN($L86*Capture*$M86*Conversion*Ticket,INDEX(CapacityPsf,AL86)*INDEX(Area,AL86)))</f>
        <v/>
      </c>
      <c r="O86" s="39" t="str">
        <f>IF($C86="","",INDEX(Area,AL86)*RentPsf*($L86/Fref)^RentElasticity)</f>
        <v/>
      </c>
      <c r="P86" s="39" t="str">
        <f>IF($C86="","",$O86+INDEX(RunOther,AL86))</f>
        <v/>
      </c>
      <c r="Q86" s="95" t="str">
        <f>IF($C86="","",$N86*ContribMargin-$P86-INDEX(LicPlan,AL86))</f>
        <v/>
      </c>
      <c r="R86" s="113" t="str">
        <f>IF($C86="","",IF(AND(AO86&gt;=$H86,AO86&gt;0),$H86/AO86,IF(AND(AO86+AP86&gt;=$H86,AP86&gt;0),1+($H86-AO86)/AP86,IF($Q86&gt;0,2+($H86-AO86-AP86)/$Q86,"Never"))))</f>
        <v/>
      </c>
      <c r="S86" s="39" t="str">
        <f>IF($C86="","",StockWeeks/52*$N86*(1-GrossMargin))</f>
        <v/>
      </c>
      <c r="U86" s="95">
        <f>IF(OR($C86="",U$21&lt;$B86),0,IF(U$21=$B86,OpenYearShare,1)*($N86*ContribMargin*IF(U$21=$B86,Ramp1,IF(U$21=$B86+1,Ramp2,1))-$P86-INDEX(LicByYear,AL86,U$21)))</f>
        <v>0</v>
      </c>
      <c r="V86" s="95">
        <f>IF(OR($C86="",V$21&lt;$B86),0,IF(V$21=$B86,OpenYearShare,1)*($N86*ContribMargin*IF(V$21=$B86,Ramp1,IF(V$21=$B86+1,Ramp2,1))-$P86-INDEX(LicByYear,AL86,V$21)))</f>
        <v>0</v>
      </c>
      <c r="W86" s="95">
        <f>IF(OR($C86="",W$21&lt;$B86),0,IF(W$21=$B86,OpenYearShare,1)*($N86*ContribMargin*IF(W$21=$B86,Ramp1,IF(W$21=$B86+1,Ramp2,1))-$P86-INDEX(LicByYear,AL86,W$21)))</f>
        <v>0</v>
      </c>
      <c r="X86" s="95">
        <f>IF(OR($C86="",X$21&lt;$B86),0,IF(X$21=$B86,OpenYearShare,1)*($N86*ContribMargin*IF(X$21=$B86,Ramp1,IF(X$21=$B86+1,Ramp2,1))-$P86-INDEX(LicByYear,AL86,X$21)))</f>
        <v>0</v>
      </c>
      <c r="Y86" s="95">
        <f>IF(OR($C86="",Y$21&lt;$B86),0,IF(Y$21=$B86,OpenYearShare,1)*($N86*ContribMargin*IF(Y$21=$B86,Ramp1,IF(Y$21=$B86+1,Ramp2,1))-$P86-INDEX(LicByYear,AL86,Y$21)))</f>
        <v>0</v>
      </c>
      <c r="Z86" s="95">
        <f>IF(OR($C86="",Z$21&lt;$B86),0,IF(Z$21=$B86,OpenYearShare,1)*($N86*ContribMargin*IF(Z$21=$B86,Ramp1,IF(Z$21=$B86+1,Ramp2,1))-$P86-INDEX(LicByYear,AL86,Z$21)))</f>
        <v>0</v>
      </c>
      <c r="AA86" s="95">
        <f>IF(OR($C86="",AA$21&lt;$B86),0,IF(AA$21=$B86,OpenYearShare,1)*($N86*ContribMargin*IF(AA$21=$B86,Ramp1,IF(AA$21=$B86+1,Ramp2,1))-$P86-INDEX(LicByYear,AL86,AA$21)))</f>
        <v>0</v>
      </c>
      <c r="AB86" s="95">
        <f>IF(OR($C86="",AB$21&lt;$B86),0,IF(AB$21=$B86,OpenYearShare,1)*($N86*ContribMargin*IF(AB$21=$B86,Ramp1,IF(AB$21=$B86+1,Ramp2,1))-$P86-INDEX(LicByYear,AL86,AB$21)))</f>
        <v>0</v>
      </c>
      <c r="AC86" s="95">
        <f>IF(OR($C86="",AC$21&lt;$B86),0,IF(AC$21=$B86,OpenYearShare,1)*($N86*ContribMargin*IF(AC$21=$B86,Ramp1,IF(AC$21=$B86+1,Ramp2,1))-$P86-INDEX(LicByYear,AL86,AC$21)))</f>
        <v>0</v>
      </c>
      <c r="AD86" s="95">
        <f>IF(OR($C86="",AD$21&lt;$B86),0,IF(AD$21=$B86,OpenYearShare,1)*($N86*ContribMargin*IF(AD$21=$B86,Ramp1,IF(AD$21=$B86+1,Ramp2,1))-$P86-INDEX(LicByYear,AL86,AD$21)))</f>
        <v>0</v>
      </c>
      <c r="AF86" s="82">
        <f>AF85+IF($C86="SPLUS",1,0)</f>
        <v>7</v>
      </c>
      <c r="AG86" s="82">
        <f>AG85+IF($C86="S",1,0)</f>
        <v>15</v>
      </c>
      <c r="AH86" s="82">
        <f>AH85+IF($C86="D",1,0)</f>
        <v>8</v>
      </c>
      <c r="AI86" s="105">
        <f>IF(OR($A86&gt;PlanStores,AF85&gt;=INDEX(Target,1)),-1000000000,INDEX(Target,1)*$A86-AF85*PlanStores)</f>
        <v>-1000000000</v>
      </c>
      <c r="AJ86" s="105">
        <f>IF(OR($A86&gt;PlanStores,AG85&gt;=INDEX(Target,2)),-1000000000,INDEX(Target,2)*$A86-AG85*PlanStores)</f>
        <v>-1000000000</v>
      </c>
      <c r="AK86" s="105">
        <f>IF(OR($A86&gt;PlanStores,AH85&gt;=INDEX(Target,3)),-1000000000,INDEX(Target,3)*$A86-AH85*PlanStores)</f>
        <v>-1000000000</v>
      </c>
      <c r="AL86" s="82" t="str">
        <f>IF($C86="","",MATCH($C86,TierCodes,0))</f>
        <v/>
      </c>
      <c r="AM86" s="82" t="str">
        <f>IF($C86="","",IF(OR(StreetChoice="Typical street for its size",INDEX(Cand,AL86)=0),"",MOD($D86-1,INDEX(Cand,AL86))+1))</f>
        <v/>
      </c>
      <c r="AN86" s="82" t="str">
        <f>IF(AM86="","",MATCH($C86&amp;"|"&amp;AM86,Melbourne!$AA$58:$AA$135,0))</f>
        <v/>
      </c>
      <c r="AO86" s="76" t="str">
        <f>IF($C86="","",Ramp1*$N86*ContribMargin-$P86-INDEX(LicPlan,AL86))</f>
        <v/>
      </c>
      <c r="AP86" s="76" t="str">
        <f>IF($C86="","",Ramp2*$N86*ContribMargin-$P86-INDEX(LicPlan,AL86))</f>
        <v/>
      </c>
      <c r="AR86" s="61" t="str">
        <f>IF($C86="","",MAX(Scale!$C$7,($D86+Scale!$C$8*($A86-$D86))^LOG(Scale!$C$6,2)))</f>
        <v/>
      </c>
      <c r="AS86" s="61" t="str">
        <f>IF($C86="","",1-IF(IF(Deal="Commit to the full plan",PlanStores,$A86)&gt;=PBAt4,Scale!$C$12,IF(IF(Deal="Commit to the full plan",PlanStores,$A86)&gt;=PBAt3,Scale!$C$11,IF(IF(Deal="Commit to the full plan",PlanStores,$A86)&gt;=PBAt2,Scale!$C$10,IF(IF(Deal="Commit to the full plan",PlanStores,$A86)&gt;=PBAt1,Scale!$C$9,0)))))</f>
        <v/>
      </c>
      <c r="AT86" s="61" t="str">
        <f>IF($C86="","",MAX(Scale!$D$7,($D86+Scale!$D$8*($A86-$D86))^LOG(Scale!$D$6,2)))</f>
        <v/>
      </c>
      <c r="AU86" s="61" t="str">
        <f>IF($C86="","",1-IF(IF(Deal="Commit to the full plan",PlanStores,$A86)&gt;=PBAt4,Scale!$D$12,IF(IF(Deal="Commit to the full plan",PlanStores,$A86)&gt;=PBAt3,Scale!$D$11,IF(IF(Deal="Commit to the full plan",PlanStores,$A86)&gt;=PBAt2,Scale!$D$10,IF(IF(Deal="Commit to the full plan",PlanStores,$A86)&gt;=PBAt1,Scale!$D$9,0)))))</f>
        <v/>
      </c>
      <c r="AV86" s="61" t="str">
        <f>IF($C86="","",MAX(Scale!$E$7,($D86+Scale!$E$8*($A86-$D86))^LOG(Scale!$E$6,2)))</f>
        <v/>
      </c>
      <c r="AW86" s="61" t="str">
        <f>IF($C86="","",1-IF(IF(Deal="Commit to the full plan",PlanStores,$A86)&gt;=PBAt4,Scale!$E$12,IF(IF(Deal="Commit to the full plan",PlanStores,$A86)&gt;=PBAt3,Scale!$E$11,IF(IF(Deal="Commit to the full plan",PlanStores,$A86)&gt;=PBAt2,Scale!$E$10,IF(IF(Deal="Commit to the full plan",PlanStores,$A86)&gt;=PBAt1,Scale!$E$9,0)))))</f>
        <v/>
      </c>
    </row>
    <row r="87">
      <c r="A87" s="110" t="n">
        <v>66</v>
      </c>
      <c r="B87" s="111" t="str">
        <f>IF($A87&gt;PlanStores,"",1+COUNTIF(CumOpenings,"&lt;"&amp;$A87))</f>
        <v/>
      </c>
      <c r="C87" s="14" t="str">
        <f>IF($A87&gt;PlanStores,"",IF(AND($A87=1,FlagshipFirst="Yes",INDEX(Target,1)&gt;0),"SPLUS",IF(AND(AI87&gt;=AJ87,AI87&gt;=AK87),"SPLUS",IF(AJ87&gt;=AK87,"S","D"))))</f>
        <v/>
      </c>
      <c r="D87" s="111" t="str">
        <f>IF($C87="","",IF($C87="SPLUS",AF87,IF($C87="S",AG87,AH87)))</f>
        <v/>
      </c>
      <c r="E87" s="112" t="str">
        <f>IF($C87="","",$D87+LearnShared*($A87-$D87))</f>
        <v/>
      </c>
      <c r="F87" s="85" t="str">
        <f>IF($C87="","",MAX(LearnFloor,$E87^LOG(LearnRate,2)))</f>
        <v/>
      </c>
      <c r="G87" s="85" t="str">
        <f>IF($C87="","",1-IF(IF(Deal="Commit to the full plan",PlanStores,$A87)&gt;=PBAt4,PBDisc4,IF(IF(Deal="Commit to the full plan",PlanStores,$A87)&gt;=PBAt3,PBDisc3,IF(IF(Deal="Commit to the full plan",PlanStores,$A87)&gt;=PBAt2,PBDisc2,IF(IF(Deal="Commit to the full plan",PlanStores,$A87)&gt;=PBAt1,PBDisc1,0)))))</f>
        <v/>
      </c>
      <c r="H87" s="39" t="str">
        <f>IF($C87="","",INDEX(BaseL,AL87)*$F87+INDEX(BaseV,AL87)*$G87+INDEX(BaseN,AL87))</f>
        <v/>
      </c>
      <c r="I87" s="39" t="str">
        <f>IF($C87="","",$H87*(1+BuildInflation)^($B87-1))</f>
        <v/>
      </c>
      <c r="J87" s="40" t="str">
        <f>IF($C87="","",IF(AN87="",IF(INDEX(Cand,AL87)=0,"No street of this size","Typical "&amp;LOWER(INDEX(TierNames,AL87))&amp;" street"),INDEX(Melbourne!$B$58:$B$135,AN87)))</f>
        <v/>
      </c>
      <c r="K87" s="40" t="str">
        <f>IF(OR($C87="",AN87=""),"",INDEX(Melbourne!$C$58:$C$135,AN87))</f>
        <v/>
      </c>
      <c r="L87" s="46" t="str">
        <f>IF($C87="","",IF(AN87="",INDEX(TypicalF,AL87),INDEX(Melbourne!$E$58:$E$135,AN87)))</f>
        <v/>
      </c>
      <c r="M87" s="86" t="str">
        <f>IF($C87="","",IF(AN87="",INDEX(TypicalQ,AL87),INDEX(Melbourne!$N$58:$N$135,AN87)))</f>
        <v/>
      </c>
      <c r="N87" s="39" t="str">
        <f>IF($C87="","",MIN($L87*Capture*$M87*Conversion*Ticket,INDEX(CapacityPsf,AL87)*INDEX(Area,AL87)))</f>
        <v/>
      </c>
      <c r="O87" s="39" t="str">
        <f>IF($C87="","",INDEX(Area,AL87)*RentPsf*($L87/Fref)^RentElasticity)</f>
        <v/>
      </c>
      <c r="P87" s="39" t="str">
        <f>IF($C87="","",$O87+INDEX(RunOther,AL87))</f>
        <v/>
      </c>
      <c r="Q87" s="95" t="str">
        <f>IF($C87="","",$N87*ContribMargin-$P87-INDEX(LicPlan,AL87))</f>
        <v/>
      </c>
      <c r="R87" s="113" t="str">
        <f>IF($C87="","",IF(AND(AO87&gt;=$H87,AO87&gt;0),$H87/AO87,IF(AND(AO87+AP87&gt;=$H87,AP87&gt;0),1+($H87-AO87)/AP87,IF($Q87&gt;0,2+($H87-AO87-AP87)/$Q87,"Never"))))</f>
        <v/>
      </c>
      <c r="S87" s="39" t="str">
        <f>IF($C87="","",StockWeeks/52*$N87*(1-GrossMargin))</f>
        <v/>
      </c>
      <c r="U87" s="95">
        <f>IF(OR($C87="",U$21&lt;$B87),0,IF(U$21=$B87,OpenYearShare,1)*($N87*ContribMargin*IF(U$21=$B87,Ramp1,IF(U$21=$B87+1,Ramp2,1))-$P87-INDEX(LicByYear,AL87,U$21)))</f>
        <v>0</v>
      </c>
      <c r="V87" s="95">
        <f>IF(OR($C87="",V$21&lt;$B87),0,IF(V$21=$B87,OpenYearShare,1)*($N87*ContribMargin*IF(V$21=$B87,Ramp1,IF(V$21=$B87+1,Ramp2,1))-$P87-INDEX(LicByYear,AL87,V$21)))</f>
        <v>0</v>
      </c>
      <c r="W87" s="95">
        <f>IF(OR($C87="",W$21&lt;$B87),0,IF(W$21=$B87,OpenYearShare,1)*($N87*ContribMargin*IF(W$21=$B87,Ramp1,IF(W$21=$B87+1,Ramp2,1))-$P87-INDEX(LicByYear,AL87,W$21)))</f>
        <v>0</v>
      </c>
      <c r="X87" s="95">
        <f>IF(OR($C87="",X$21&lt;$B87),0,IF(X$21=$B87,OpenYearShare,1)*($N87*ContribMargin*IF(X$21=$B87,Ramp1,IF(X$21=$B87+1,Ramp2,1))-$P87-INDEX(LicByYear,AL87,X$21)))</f>
        <v>0</v>
      </c>
      <c r="Y87" s="95">
        <f>IF(OR($C87="",Y$21&lt;$B87),0,IF(Y$21=$B87,OpenYearShare,1)*($N87*ContribMargin*IF(Y$21=$B87,Ramp1,IF(Y$21=$B87+1,Ramp2,1))-$P87-INDEX(LicByYear,AL87,Y$21)))</f>
        <v>0</v>
      </c>
      <c r="Z87" s="95">
        <f>IF(OR($C87="",Z$21&lt;$B87),0,IF(Z$21=$B87,OpenYearShare,1)*($N87*ContribMargin*IF(Z$21=$B87,Ramp1,IF(Z$21=$B87+1,Ramp2,1))-$P87-INDEX(LicByYear,AL87,Z$21)))</f>
        <v>0</v>
      </c>
      <c r="AA87" s="95">
        <f>IF(OR($C87="",AA$21&lt;$B87),0,IF(AA$21=$B87,OpenYearShare,1)*($N87*ContribMargin*IF(AA$21=$B87,Ramp1,IF(AA$21=$B87+1,Ramp2,1))-$P87-INDEX(LicByYear,AL87,AA$21)))</f>
        <v>0</v>
      </c>
      <c r="AB87" s="95">
        <f>IF(OR($C87="",AB$21&lt;$B87),0,IF(AB$21=$B87,OpenYearShare,1)*($N87*ContribMargin*IF(AB$21=$B87,Ramp1,IF(AB$21=$B87+1,Ramp2,1))-$P87-INDEX(LicByYear,AL87,AB$21)))</f>
        <v>0</v>
      </c>
      <c r="AC87" s="95">
        <f>IF(OR($C87="",AC$21&lt;$B87),0,IF(AC$21=$B87,OpenYearShare,1)*($N87*ContribMargin*IF(AC$21=$B87,Ramp1,IF(AC$21=$B87+1,Ramp2,1))-$P87-INDEX(LicByYear,AL87,AC$21)))</f>
        <v>0</v>
      </c>
      <c r="AD87" s="95">
        <f>IF(OR($C87="",AD$21&lt;$B87),0,IF(AD$21=$B87,OpenYearShare,1)*($N87*ContribMargin*IF(AD$21=$B87,Ramp1,IF(AD$21=$B87+1,Ramp2,1))-$P87-INDEX(LicByYear,AL87,AD$21)))</f>
        <v>0</v>
      </c>
      <c r="AF87" s="82">
        <f>AF86+IF($C87="SPLUS",1,0)</f>
        <v>7</v>
      </c>
      <c r="AG87" s="82">
        <f>AG86+IF($C87="S",1,0)</f>
        <v>15</v>
      </c>
      <c r="AH87" s="82">
        <f>AH86+IF($C87="D",1,0)</f>
        <v>8</v>
      </c>
      <c r="AI87" s="105">
        <f>IF(OR($A87&gt;PlanStores,AF86&gt;=INDEX(Target,1)),-1000000000,INDEX(Target,1)*$A87-AF86*PlanStores)</f>
        <v>-1000000000</v>
      </c>
      <c r="AJ87" s="105">
        <f>IF(OR($A87&gt;PlanStores,AG86&gt;=INDEX(Target,2)),-1000000000,INDEX(Target,2)*$A87-AG86*PlanStores)</f>
        <v>-1000000000</v>
      </c>
      <c r="AK87" s="105">
        <f>IF(OR($A87&gt;PlanStores,AH86&gt;=INDEX(Target,3)),-1000000000,INDEX(Target,3)*$A87-AH86*PlanStores)</f>
        <v>-1000000000</v>
      </c>
      <c r="AL87" s="82" t="str">
        <f>IF($C87="","",MATCH($C87,TierCodes,0))</f>
        <v/>
      </c>
      <c r="AM87" s="82" t="str">
        <f>IF($C87="","",IF(OR(StreetChoice="Typical street for its size",INDEX(Cand,AL87)=0),"",MOD($D87-1,INDEX(Cand,AL87))+1))</f>
        <v/>
      </c>
      <c r="AN87" s="82" t="str">
        <f>IF(AM87="","",MATCH($C87&amp;"|"&amp;AM87,Melbourne!$AA$58:$AA$135,0))</f>
        <v/>
      </c>
      <c r="AO87" s="76" t="str">
        <f>IF($C87="","",Ramp1*$N87*ContribMargin-$P87-INDEX(LicPlan,AL87))</f>
        <v/>
      </c>
      <c r="AP87" s="76" t="str">
        <f>IF($C87="","",Ramp2*$N87*ContribMargin-$P87-INDEX(LicPlan,AL87))</f>
        <v/>
      </c>
      <c r="AR87" s="61" t="str">
        <f>IF($C87="","",MAX(Scale!$C$7,($D87+Scale!$C$8*($A87-$D87))^LOG(Scale!$C$6,2)))</f>
        <v/>
      </c>
      <c r="AS87" s="61" t="str">
        <f>IF($C87="","",1-IF(IF(Deal="Commit to the full plan",PlanStores,$A87)&gt;=PBAt4,Scale!$C$12,IF(IF(Deal="Commit to the full plan",PlanStores,$A87)&gt;=PBAt3,Scale!$C$11,IF(IF(Deal="Commit to the full plan",PlanStores,$A87)&gt;=PBAt2,Scale!$C$10,IF(IF(Deal="Commit to the full plan",PlanStores,$A87)&gt;=PBAt1,Scale!$C$9,0)))))</f>
        <v/>
      </c>
      <c r="AT87" s="61" t="str">
        <f>IF($C87="","",MAX(Scale!$D$7,($D87+Scale!$D$8*($A87-$D87))^LOG(Scale!$D$6,2)))</f>
        <v/>
      </c>
      <c r="AU87" s="61" t="str">
        <f>IF($C87="","",1-IF(IF(Deal="Commit to the full plan",PlanStores,$A87)&gt;=PBAt4,Scale!$D$12,IF(IF(Deal="Commit to the full plan",PlanStores,$A87)&gt;=PBAt3,Scale!$D$11,IF(IF(Deal="Commit to the full plan",PlanStores,$A87)&gt;=PBAt2,Scale!$D$10,IF(IF(Deal="Commit to the full plan",PlanStores,$A87)&gt;=PBAt1,Scale!$D$9,0)))))</f>
        <v/>
      </c>
      <c r="AV87" s="61" t="str">
        <f>IF($C87="","",MAX(Scale!$E$7,($D87+Scale!$E$8*($A87-$D87))^LOG(Scale!$E$6,2)))</f>
        <v/>
      </c>
      <c r="AW87" s="61" t="str">
        <f>IF($C87="","",1-IF(IF(Deal="Commit to the full plan",PlanStores,$A87)&gt;=PBAt4,Scale!$E$12,IF(IF(Deal="Commit to the full plan",PlanStores,$A87)&gt;=PBAt3,Scale!$E$11,IF(IF(Deal="Commit to the full plan",PlanStores,$A87)&gt;=PBAt2,Scale!$E$10,IF(IF(Deal="Commit to the full plan",PlanStores,$A87)&gt;=PBAt1,Scale!$E$9,0)))))</f>
        <v/>
      </c>
    </row>
    <row r="88">
      <c r="A88" s="110" t="n">
        <v>67</v>
      </c>
      <c r="B88" s="111" t="str">
        <f>IF($A88&gt;PlanStores,"",1+COUNTIF(CumOpenings,"&lt;"&amp;$A88))</f>
        <v/>
      </c>
      <c r="C88" s="14" t="str">
        <f>IF($A88&gt;PlanStores,"",IF(AND($A88=1,FlagshipFirst="Yes",INDEX(Target,1)&gt;0),"SPLUS",IF(AND(AI88&gt;=AJ88,AI88&gt;=AK88),"SPLUS",IF(AJ88&gt;=AK88,"S","D"))))</f>
        <v/>
      </c>
      <c r="D88" s="111" t="str">
        <f>IF($C88="","",IF($C88="SPLUS",AF88,IF($C88="S",AG88,AH88)))</f>
        <v/>
      </c>
      <c r="E88" s="112" t="str">
        <f>IF($C88="","",$D88+LearnShared*($A88-$D88))</f>
        <v/>
      </c>
      <c r="F88" s="85" t="str">
        <f>IF($C88="","",MAX(LearnFloor,$E88^LOG(LearnRate,2)))</f>
        <v/>
      </c>
      <c r="G88" s="85" t="str">
        <f>IF($C88="","",1-IF(IF(Deal="Commit to the full plan",PlanStores,$A88)&gt;=PBAt4,PBDisc4,IF(IF(Deal="Commit to the full plan",PlanStores,$A88)&gt;=PBAt3,PBDisc3,IF(IF(Deal="Commit to the full plan",PlanStores,$A88)&gt;=PBAt2,PBDisc2,IF(IF(Deal="Commit to the full plan",PlanStores,$A88)&gt;=PBAt1,PBDisc1,0)))))</f>
        <v/>
      </c>
      <c r="H88" s="39" t="str">
        <f>IF($C88="","",INDEX(BaseL,AL88)*$F88+INDEX(BaseV,AL88)*$G88+INDEX(BaseN,AL88))</f>
        <v/>
      </c>
      <c r="I88" s="39" t="str">
        <f>IF($C88="","",$H88*(1+BuildInflation)^($B88-1))</f>
        <v/>
      </c>
      <c r="J88" s="40" t="str">
        <f>IF($C88="","",IF(AN88="",IF(INDEX(Cand,AL88)=0,"No street of this size","Typical "&amp;LOWER(INDEX(TierNames,AL88))&amp;" street"),INDEX(Melbourne!$B$58:$B$135,AN88)))</f>
        <v/>
      </c>
      <c r="K88" s="40" t="str">
        <f>IF(OR($C88="",AN88=""),"",INDEX(Melbourne!$C$58:$C$135,AN88))</f>
        <v/>
      </c>
      <c r="L88" s="46" t="str">
        <f>IF($C88="","",IF(AN88="",INDEX(TypicalF,AL88),INDEX(Melbourne!$E$58:$E$135,AN88)))</f>
        <v/>
      </c>
      <c r="M88" s="86" t="str">
        <f>IF($C88="","",IF(AN88="",INDEX(TypicalQ,AL88),INDEX(Melbourne!$N$58:$N$135,AN88)))</f>
        <v/>
      </c>
      <c r="N88" s="39" t="str">
        <f>IF($C88="","",MIN($L88*Capture*$M88*Conversion*Ticket,INDEX(CapacityPsf,AL88)*INDEX(Area,AL88)))</f>
        <v/>
      </c>
      <c r="O88" s="39" t="str">
        <f>IF($C88="","",INDEX(Area,AL88)*RentPsf*($L88/Fref)^RentElasticity)</f>
        <v/>
      </c>
      <c r="P88" s="39" t="str">
        <f>IF($C88="","",$O88+INDEX(RunOther,AL88))</f>
        <v/>
      </c>
      <c r="Q88" s="95" t="str">
        <f>IF($C88="","",$N88*ContribMargin-$P88-INDEX(LicPlan,AL88))</f>
        <v/>
      </c>
      <c r="R88" s="113" t="str">
        <f>IF($C88="","",IF(AND(AO88&gt;=$H88,AO88&gt;0),$H88/AO88,IF(AND(AO88+AP88&gt;=$H88,AP88&gt;0),1+($H88-AO88)/AP88,IF($Q88&gt;0,2+($H88-AO88-AP88)/$Q88,"Never"))))</f>
        <v/>
      </c>
      <c r="S88" s="39" t="str">
        <f>IF($C88="","",StockWeeks/52*$N88*(1-GrossMargin))</f>
        <v/>
      </c>
      <c r="U88" s="95">
        <f>IF(OR($C88="",U$21&lt;$B88),0,IF(U$21=$B88,OpenYearShare,1)*($N88*ContribMargin*IF(U$21=$B88,Ramp1,IF(U$21=$B88+1,Ramp2,1))-$P88-INDEX(LicByYear,AL88,U$21)))</f>
        <v>0</v>
      </c>
      <c r="V88" s="95">
        <f>IF(OR($C88="",V$21&lt;$B88),0,IF(V$21=$B88,OpenYearShare,1)*($N88*ContribMargin*IF(V$21=$B88,Ramp1,IF(V$21=$B88+1,Ramp2,1))-$P88-INDEX(LicByYear,AL88,V$21)))</f>
        <v>0</v>
      </c>
      <c r="W88" s="95">
        <f>IF(OR($C88="",W$21&lt;$B88),0,IF(W$21=$B88,OpenYearShare,1)*($N88*ContribMargin*IF(W$21=$B88,Ramp1,IF(W$21=$B88+1,Ramp2,1))-$P88-INDEX(LicByYear,AL88,W$21)))</f>
        <v>0</v>
      </c>
      <c r="X88" s="95">
        <f>IF(OR($C88="",X$21&lt;$B88),0,IF(X$21=$B88,OpenYearShare,1)*($N88*ContribMargin*IF(X$21=$B88,Ramp1,IF(X$21=$B88+1,Ramp2,1))-$P88-INDEX(LicByYear,AL88,X$21)))</f>
        <v>0</v>
      </c>
      <c r="Y88" s="95">
        <f>IF(OR($C88="",Y$21&lt;$B88),0,IF(Y$21=$B88,OpenYearShare,1)*($N88*ContribMargin*IF(Y$21=$B88,Ramp1,IF(Y$21=$B88+1,Ramp2,1))-$P88-INDEX(LicByYear,AL88,Y$21)))</f>
        <v>0</v>
      </c>
      <c r="Z88" s="95">
        <f>IF(OR($C88="",Z$21&lt;$B88),0,IF(Z$21=$B88,OpenYearShare,1)*($N88*ContribMargin*IF(Z$21=$B88,Ramp1,IF(Z$21=$B88+1,Ramp2,1))-$P88-INDEX(LicByYear,AL88,Z$21)))</f>
        <v>0</v>
      </c>
      <c r="AA88" s="95">
        <f>IF(OR($C88="",AA$21&lt;$B88),0,IF(AA$21=$B88,OpenYearShare,1)*($N88*ContribMargin*IF(AA$21=$B88,Ramp1,IF(AA$21=$B88+1,Ramp2,1))-$P88-INDEX(LicByYear,AL88,AA$21)))</f>
        <v>0</v>
      </c>
      <c r="AB88" s="95">
        <f>IF(OR($C88="",AB$21&lt;$B88),0,IF(AB$21=$B88,OpenYearShare,1)*($N88*ContribMargin*IF(AB$21=$B88,Ramp1,IF(AB$21=$B88+1,Ramp2,1))-$P88-INDEX(LicByYear,AL88,AB$21)))</f>
        <v>0</v>
      </c>
      <c r="AC88" s="95">
        <f>IF(OR($C88="",AC$21&lt;$B88),0,IF(AC$21=$B88,OpenYearShare,1)*($N88*ContribMargin*IF(AC$21=$B88,Ramp1,IF(AC$21=$B88+1,Ramp2,1))-$P88-INDEX(LicByYear,AL88,AC$21)))</f>
        <v>0</v>
      </c>
      <c r="AD88" s="95">
        <f>IF(OR($C88="",AD$21&lt;$B88),0,IF(AD$21=$B88,OpenYearShare,1)*($N88*ContribMargin*IF(AD$21=$B88,Ramp1,IF(AD$21=$B88+1,Ramp2,1))-$P88-INDEX(LicByYear,AL88,AD$21)))</f>
        <v>0</v>
      </c>
      <c r="AF88" s="82">
        <f>AF87+IF($C88="SPLUS",1,0)</f>
        <v>7</v>
      </c>
      <c r="AG88" s="82">
        <f>AG87+IF($C88="S",1,0)</f>
        <v>15</v>
      </c>
      <c r="AH88" s="82">
        <f>AH87+IF($C88="D",1,0)</f>
        <v>8</v>
      </c>
      <c r="AI88" s="105">
        <f>IF(OR($A88&gt;PlanStores,AF87&gt;=INDEX(Target,1)),-1000000000,INDEX(Target,1)*$A88-AF87*PlanStores)</f>
        <v>-1000000000</v>
      </c>
      <c r="AJ88" s="105">
        <f>IF(OR($A88&gt;PlanStores,AG87&gt;=INDEX(Target,2)),-1000000000,INDEX(Target,2)*$A88-AG87*PlanStores)</f>
        <v>-1000000000</v>
      </c>
      <c r="AK88" s="105">
        <f>IF(OR($A88&gt;PlanStores,AH87&gt;=INDEX(Target,3)),-1000000000,INDEX(Target,3)*$A88-AH87*PlanStores)</f>
        <v>-1000000000</v>
      </c>
      <c r="AL88" s="82" t="str">
        <f>IF($C88="","",MATCH($C88,TierCodes,0))</f>
        <v/>
      </c>
      <c r="AM88" s="82" t="str">
        <f>IF($C88="","",IF(OR(StreetChoice="Typical street for its size",INDEX(Cand,AL88)=0),"",MOD($D88-1,INDEX(Cand,AL88))+1))</f>
        <v/>
      </c>
      <c r="AN88" s="82" t="str">
        <f>IF(AM88="","",MATCH($C88&amp;"|"&amp;AM88,Melbourne!$AA$58:$AA$135,0))</f>
        <v/>
      </c>
      <c r="AO88" s="76" t="str">
        <f>IF($C88="","",Ramp1*$N88*ContribMargin-$P88-INDEX(LicPlan,AL88))</f>
        <v/>
      </c>
      <c r="AP88" s="76" t="str">
        <f>IF($C88="","",Ramp2*$N88*ContribMargin-$P88-INDEX(LicPlan,AL88))</f>
        <v/>
      </c>
      <c r="AR88" s="61" t="str">
        <f>IF($C88="","",MAX(Scale!$C$7,($D88+Scale!$C$8*($A88-$D88))^LOG(Scale!$C$6,2)))</f>
        <v/>
      </c>
      <c r="AS88" s="61" t="str">
        <f>IF($C88="","",1-IF(IF(Deal="Commit to the full plan",PlanStores,$A88)&gt;=PBAt4,Scale!$C$12,IF(IF(Deal="Commit to the full plan",PlanStores,$A88)&gt;=PBAt3,Scale!$C$11,IF(IF(Deal="Commit to the full plan",PlanStores,$A88)&gt;=PBAt2,Scale!$C$10,IF(IF(Deal="Commit to the full plan",PlanStores,$A88)&gt;=PBAt1,Scale!$C$9,0)))))</f>
        <v/>
      </c>
      <c r="AT88" s="61" t="str">
        <f>IF($C88="","",MAX(Scale!$D$7,($D88+Scale!$D$8*($A88-$D88))^LOG(Scale!$D$6,2)))</f>
        <v/>
      </c>
      <c r="AU88" s="61" t="str">
        <f>IF($C88="","",1-IF(IF(Deal="Commit to the full plan",PlanStores,$A88)&gt;=PBAt4,Scale!$D$12,IF(IF(Deal="Commit to the full plan",PlanStores,$A88)&gt;=PBAt3,Scale!$D$11,IF(IF(Deal="Commit to the full plan",PlanStores,$A88)&gt;=PBAt2,Scale!$D$10,IF(IF(Deal="Commit to the full plan",PlanStores,$A88)&gt;=PBAt1,Scale!$D$9,0)))))</f>
        <v/>
      </c>
      <c r="AV88" s="61" t="str">
        <f>IF($C88="","",MAX(Scale!$E$7,($D88+Scale!$E$8*($A88-$D88))^LOG(Scale!$E$6,2)))</f>
        <v/>
      </c>
      <c r="AW88" s="61" t="str">
        <f>IF($C88="","",1-IF(IF(Deal="Commit to the full plan",PlanStores,$A88)&gt;=PBAt4,Scale!$E$12,IF(IF(Deal="Commit to the full plan",PlanStores,$A88)&gt;=PBAt3,Scale!$E$11,IF(IF(Deal="Commit to the full plan",PlanStores,$A88)&gt;=PBAt2,Scale!$E$10,IF(IF(Deal="Commit to the full plan",PlanStores,$A88)&gt;=PBAt1,Scale!$E$9,0)))))</f>
        <v/>
      </c>
    </row>
    <row r="89">
      <c r="A89" s="110" t="n">
        <v>68</v>
      </c>
      <c r="B89" s="111" t="str">
        <f>IF($A89&gt;PlanStores,"",1+COUNTIF(CumOpenings,"&lt;"&amp;$A89))</f>
        <v/>
      </c>
      <c r="C89" s="14" t="str">
        <f>IF($A89&gt;PlanStores,"",IF(AND($A89=1,FlagshipFirst="Yes",INDEX(Target,1)&gt;0),"SPLUS",IF(AND(AI89&gt;=AJ89,AI89&gt;=AK89),"SPLUS",IF(AJ89&gt;=AK89,"S","D"))))</f>
        <v/>
      </c>
      <c r="D89" s="111" t="str">
        <f>IF($C89="","",IF($C89="SPLUS",AF89,IF($C89="S",AG89,AH89)))</f>
        <v/>
      </c>
      <c r="E89" s="112" t="str">
        <f>IF($C89="","",$D89+LearnShared*($A89-$D89))</f>
        <v/>
      </c>
      <c r="F89" s="85" t="str">
        <f>IF($C89="","",MAX(LearnFloor,$E89^LOG(LearnRate,2)))</f>
        <v/>
      </c>
      <c r="G89" s="85" t="str">
        <f>IF($C89="","",1-IF(IF(Deal="Commit to the full plan",PlanStores,$A89)&gt;=PBAt4,PBDisc4,IF(IF(Deal="Commit to the full plan",PlanStores,$A89)&gt;=PBAt3,PBDisc3,IF(IF(Deal="Commit to the full plan",PlanStores,$A89)&gt;=PBAt2,PBDisc2,IF(IF(Deal="Commit to the full plan",PlanStores,$A89)&gt;=PBAt1,PBDisc1,0)))))</f>
        <v/>
      </c>
      <c r="H89" s="39" t="str">
        <f>IF($C89="","",INDEX(BaseL,AL89)*$F89+INDEX(BaseV,AL89)*$G89+INDEX(BaseN,AL89))</f>
        <v/>
      </c>
      <c r="I89" s="39" t="str">
        <f>IF($C89="","",$H89*(1+BuildInflation)^($B89-1))</f>
        <v/>
      </c>
      <c r="J89" s="40" t="str">
        <f>IF($C89="","",IF(AN89="",IF(INDEX(Cand,AL89)=0,"No street of this size","Typical "&amp;LOWER(INDEX(TierNames,AL89))&amp;" street"),INDEX(Melbourne!$B$58:$B$135,AN89)))</f>
        <v/>
      </c>
      <c r="K89" s="40" t="str">
        <f>IF(OR($C89="",AN89=""),"",INDEX(Melbourne!$C$58:$C$135,AN89))</f>
        <v/>
      </c>
      <c r="L89" s="46" t="str">
        <f>IF($C89="","",IF(AN89="",INDEX(TypicalF,AL89),INDEX(Melbourne!$E$58:$E$135,AN89)))</f>
        <v/>
      </c>
      <c r="M89" s="86" t="str">
        <f>IF($C89="","",IF(AN89="",INDEX(TypicalQ,AL89),INDEX(Melbourne!$N$58:$N$135,AN89)))</f>
        <v/>
      </c>
      <c r="N89" s="39" t="str">
        <f>IF($C89="","",MIN($L89*Capture*$M89*Conversion*Ticket,INDEX(CapacityPsf,AL89)*INDEX(Area,AL89)))</f>
        <v/>
      </c>
      <c r="O89" s="39" t="str">
        <f>IF($C89="","",INDEX(Area,AL89)*RentPsf*($L89/Fref)^RentElasticity)</f>
        <v/>
      </c>
      <c r="P89" s="39" t="str">
        <f>IF($C89="","",$O89+INDEX(RunOther,AL89))</f>
        <v/>
      </c>
      <c r="Q89" s="95" t="str">
        <f>IF($C89="","",$N89*ContribMargin-$P89-INDEX(LicPlan,AL89))</f>
        <v/>
      </c>
      <c r="R89" s="113" t="str">
        <f>IF($C89="","",IF(AND(AO89&gt;=$H89,AO89&gt;0),$H89/AO89,IF(AND(AO89+AP89&gt;=$H89,AP89&gt;0),1+($H89-AO89)/AP89,IF($Q89&gt;0,2+($H89-AO89-AP89)/$Q89,"Never"))))</f>
        <v/>
      </c>
      <c r="S89" s="39" t="str">
        <f>IF($C89="","",StockWeeks/52*$N89*(1-GrossMargin))</f>
        <v/>
      </c>
      <c r="U89" s="95">
        <f>IF(OR($C89="",U$21&lt;$B89),0,IF(U$21=$B89,OpenYearShare,1)*($N89*ContribMargin*IF(U$21=$B89,Ramp1,IF(U$21=$B89+1,Ramp2,1))-$P89-INDEX(LicByYear,AL89,U$21)))</f>
        <v>0</v>
      </c>
      <c r="V89" s="95">
        <f>IF(OR($C89="",V$21&lt;$B89),0,IF(V$21=$B89,OpenYearShare,1)*($N89*ContribMargin*IF(V$21=$B89,Ramp1,IF(V$21=$B89+1,Ramp2,1))-$P89-INDEX(LicByYear,AL89,V$21)))</f>
        <v>0</v>
      </c>
      <c r="W89" s="95">
        <f>IF(OR($C89="",W$21&lt;$B89),0,IF(W$21=$B89,OpenYearShare,1)*($N89*ContribMargin*IF(W$21=$B89,Ramp1,IF(W$21=$B89+1,Ramp2,1))-$P89-INDEX(LicByYear,AL89,W$21)))</f>
        <v>0</v>
      </c>
      <c r="X89" s="95">
        <f>IF(OR($C89="",X$21&lt;$B89),0,IF(X$21=$B89,OpenYearShare,1)*($N89*ContribMargin*IF(X$21=$B89,Ramp1,IF(X$21=$B89+1,Ramp2,1))-$P89-INDEX(LicByYear,AL89,X$21)))</f>
        <v>0</v>
      </c>
      <c r="Y89" s="95">
        <f>IF(OR($C89="",Y$21&lt;$B89),0,IF(Y$21=$B89,OpenYearShare,1)*($N89*ContribMargin*IF(Y$21=$B89,Ramp1,IF(Y$21=$B89+1,Ramp2,1))-$P89-INDEX(LicByYear,AL89,Y$21)))</f>
        <v>0</v>
      </c>
      <c r="Z89" s="95">
        <f>IF(OR($C89="",Z$21&lt;$B89),0,IF(Z$21=$B89,OpenYearShare,1)*($N89*ContribMargin*IF(Z$21=$B89,Ramp1,IF(Z$21=$B89+1,Ramp2,1))-$P89-INDEX(LicByYear,AL89,Z$21)))</f>
        <v>0</v>
      </c>
      <c r="AA89" s="95">
        <f>IF(OR($C89="",AA$21&lt;$B89),0,IF(AA$21=$B89,OpenYearShare,1)*($N89*ContribMargin*IF(AA$21=$B89,Ramp1,IF(AA$21=$B89+1,Ramp2,1))-$P89-INDEX(LicByYear,AL89,AA$21)))</f>
        <v>0</v>
      </c>
      <c r="AB89" s="95">
        <f>IF(OR($C89="",AB$21&lt;$B89),0,IF(AB$21=$B89,OpenYearShare,1)*($N89*ContribMargin*IF(AB$21=$B89,Ramp1,IF(AB$21=$B89+1,Ramp2,1))-$P89-INDEX(LicByYear,AL89,AB$21)))</f>
        <v>0</v>
      </c>
      <c r="AC89" s="95">
        <f>IF(OR($C89="",AC$21&lt;$B89),0,IF(AC$21=$B89,OpenYearShare,1)*($N89*ContribMargin*IF(AC$21=$B89,Ramp1,IF(AC$21=$B89+1,Ramp2,1))-$P89-INDEX(LicByYear,AL89,AC$21)))</f>
        <v>0</v>
      </c>
      <c r="AD89" s="95">
        <f>IF(OR($C89="",AD$21&lt;$B89),0,IF(AD$21=$B89,OpenYearShare,1)*($N89*ContribMargin*IF(AD$21=$B89,Ramp1,IF(AD$21=$B89+1,Ramp2,1))-$P89-INDEX(LicByYear,AL89,AD$21)))</f>
        <v>0</v>
      </c>
      <c r="AF89" s="82">
        <f>AF88+IF($C89="SPLUS",1,0)</f>
        <v>7</v>
      </c>
      <c r="AG89" s="82">
        <f>AG88+IF($C89="S",1,0)</f>
        <v>15</v>
      </c>
      <c r="AH89" s="82">
        <f>AH88+IF($C89="D",1,0)</f>
        <v>8</v>
      </c>
      <c r="AI89" s="105">
        <f>IF(OR($A89&gt;PlanStores,AF88&gt;=INDEX(Target,1)),-1000000000,INDEX(Target,1)*$A89-AF88*PlanStores)</f>
        <v>-1000000000</v>
      </c>
      <c r="AJ89" s="105">
        <f>IF(OR($A89&gt;PlanStores,AG88&gt;=INDEX(Target,2)),-1000000000,INDEX(Target,2)*$A89-AG88*PlanStores)</f>
        <v>-1000000000</v>
      </c>
      <c r="AK89" s="105">
        <f>IF(OR($A89&gt;PlanStores,AH88&gt;=INDEX(Target,3)),-1000000000,INDEX(Target,3)*$A89-AH88*PlanStores)</f>
        <v>-1000000000</v>
      </c>
      <c r="AL89" s="82" t="str">
        <f>IF($C89="","",MATCH($C89,TierCodes,0))</f>
        <v/>
      </c>
      <c r="AM89" s="82" t="str">
        <f>IF($C89="","",IF(OR(StreetChoice="Typical street for its size",INDEX(Cand,AL89)=0),"",MOD($D89-1,INDEX(Cand,AL89))+1))</f>
        <v/>
      </c>
      <c r="AN89" s="82" t="str">
        <f>IF(AM89="","",MATCH($C89&amp;"|"&amp;AM89,Melbourne!$AA$58:$AA$135,0))</f>
        <v/>
      </c>
      <c r="AO89" s="76" t="str">
        <f>IF($C89="","",Ramp1*$N89*ContribMargin-$P89-INDEX(LicPlan,AL89))</f>
        <v/>
      </c>
      <c r="AP89" s="76" t="str">
        <f>IF($C89="","",Ramp2*$N89*ContribMargin-$P89-INDEX(LicPlan,AL89))</f>
        <v/>
      </c>
      <c r="AR89" s="61" t="str">
        <f>IF($C89="","",MAX(Scale!$C$7,($D89+Scale!$C$8*($A89-$D89))^LOG(Scale!$C$6,2)))</f>
        <v/>
      </c>
      <c r="AS89" s="61" t="str">
        <f>IF($C89="","",1-IF(IF(Deal="Commit to the full plan",PlanStores,$A89)&gt;=PBAt4,Scale!$C$12,IF(IF(Deal="Commit to the full plan",PlanStores,$A89)&gt;=PBAt3,Scale!$C$11,IF(IF(Deal="Commit to the full plan",PlanStores,$A89)&gt;=PBAt2,Scale!$C$10,IF(IF(Deal="Commit to the full plan",PlanStores,$A89)&gt;=PBAt1,Scale!$C$9,0)))))</f>
        <v/>
      </c>
      <c r="AT89" s="61" t="str">
        <f>IF($C89="","",MAX(Scale!$D$7,($D89+Scale!$D$8*($A89-$D89))^LOG(Scale!$D$6,2)))</f>
        <v/>
      </c>
      <c r="AU89" s="61" t="str">
        <f>IF($C89="","",1-IF(IF(Deal="Commit to the full plan",PlanStores,$A89)&gt;=PBAt4,Scale!$D$12,IF(IF(Deal="Commit to the full plan",PlanStores,$A89)&gt;=PBAt3,Scale!$D$11,IF(IF(Deal="Commit to the full plan",PlanStores,$A89)&gt;=PBAt2,Scale!$D$10,IF(IF(Deal="Commit to the full plan",PlanStores,$A89)&gt;=PBAt1,Scale!$D$9,0)))))</f>
        <v/>
      </c>
      <c r="AV89" s="61" t="str">
        <f>IF($C89="","",MAX(Scale!$E$7,($D89+Scale!$E$8*($A89-$D89))^LOG(Scale!$E$6,2)))</f>
        <v/>
      </c>
      <c r="AW89" s="61" t="str">
        <f>IF($C89="","",1-IF(IF(Deal="Commit to the full plan",PlanStores,$A89)&gt;=PBAt4,Scale!$E$12,IF(IF(Deal="Commit to the full plan",PlanStores,$A89)&gt;=PBAt3,Scale!$E$11,IF(IF(Deal="Commit to the full plan",PlanStores,$A89)&gt;=PBAt2,Scale!$E$10,IF(IF(Deal="Commit to the full plan",PlanStores,$A89)&gt;=PBAt1,Scale!$E$9,0)))))</f>
        <v/>
      </c>
    </row>
    <row r="90">
      <c r="A90" s="110" t="n">
        <v>69</v>
      </c>
      <c r="B90" s="111" t="str">
        <f>IF($A90&gt;PlanStores,"",1+COUNTIF(CumOpenings,"&lt;"&amp;$A90))</f>
        <v/>
      </c>
      <c r="C90" s="14" t="str">
        <f>IF($A90&gt;PlanStores,"",IF(AND($A90=1,FlagshipFirst="Yes",INDEX(Target,1)&gt;0),"SPLUS",IF(AND(AI90&gt;=AJ90,AI90&gt;=AK90),"SPLUS",IF(AJ90&gt;=AK90,"S","D"))))</f>
        <v/>
      </c>
      <c r="D90" s="111" t="str">
        <f>IF($C90="","",IF($C90="SPLUS",AF90,IF($C90="S",AG90,AH90)))</f>
        <v/>
      </c>
      <c r="E90" s="112" t="str">
        <f>IF($C90="","",$D90+LearnShared*($A90-$D90))</f>
        <v/>
      </c>
      <c r="F90" s="85" t="str">
        <f>IF($C90="","",MAX(LearnFloor,$E90^LOG(LearnRate,2)))</f>
        <v/>
      </c>
      <c r="G90" s="85" t="str">
        <f>IF($C90="","",1-IF(IF(Deal="Commit to the full plan",PlanStores,$A90)&gt;=PBAt4,PBDisc4,IF(IF(Deal="Commit to the full plan",PlanStores,$A90)&gt;=PBAt3,PBDisc3,IF(IF(Deal="Commit to the full plan",PlanStores,$A90)&gt;=PBAt2,PBDisc2,IF(IF(Deal="Commit to the full plan",PlanStores,$A90)&gt;=PBAt1,PBDisc1,0)))))</f>
        <v/>
      </c>
      <c r="H90" s="39" t="str">
        <f>IF($C90="","",INDEX(BaseL,AL90)*$F90+INDEX(BaseV,AL90)*$G90+INDEX(BaseN,AL90))</f>
        <v/>
      </c>
      <c r="I90" s="39" t="str">
        <f>IF($C90="","",$H90*(1+BuildInflation)^($B90-1))</f>
        <v/>
      </c>
      <c r="J90" s="40" t="str">
        <f>IF($C90="","",IF(AN90="",IF(INDEX(Cand,AL90)=0,"No street of this size","Typical "&amp;LOWER(INDEX(TierNames,AL90))&amp;" street"),INDEX(Melbourne!$B$58:$B$135,AN90)))</f>
        <v/>
      </c>
      <c r="K90" s="40" t="str">
        <f>IF(OR($C90="",AN90=""),"",INDEX(Melbourne!$C$58:$C$135,AN90))</f>
        <v/>
      </c>
      <c r="L90" s="46" t="str">
        <f>IF($C90="","",IF(AN90="",INDEX(TypicalF,AL90),INDEX(Melbourne!$E$58:$E$135,AN90)))</f>
        <v/>
      </c>
      <c r="M90" s="86" t="str">
        <f>IF($C90="","",IF(AN90="",INDEX(TypicalQ,AL90),INDEX(Melbourne!$N$58:$N$135,AN90)))</f>
        <v/>
      </c>
      <c r="N90" s="39" t="str">
        <f>IF($C90="","",MIN($L90*Capture*$M90*Conversion*Ticket,INDEX(CapacityPsf,AL90)*INDEX(Area,AL90)))</f>
        <v/>
      </c>
      <c r="O90" s="39" t="str">
        <f>IF($C90="","",INDEX(Area,AL90)*RentPsf*($L90/Fref)^RentElasticity)</f>
        <v/>
      </c>
      <c r="P90" s="39" t="str">
        <f>IF($C90="","",$O90+INDEX(RunOther,AL90))</f>
        <v/>
      </c>
      <c r="Q90" s="95" t="str">
        <f>IF($C90="","",$N90*ContribMargin-$P90-INDEX(LicPlan,AL90))</f>
        <v/>
      </c>
      <c r="R90" s="113" t="str">
        <f>IF($C90="","",IF(AND(AO90&gt;=$H90,AO90&gt;0),$H90/AO90,IF(AND(AO90+AP90&gt;=$H90,AP90&gt;0),1+($H90-AO90)/AP90,IF($Q90&gt;0,2+($H90-AO90-AP90)/$Q90,"Never"))))</f>
        <v/>
      </c>
      <c r="S90" s="39" t="str">
        <f>IF($C90="","",StockWeeks/52*$N90*(1-GrossMargin))</f>
        <v/>
      </c>
      <c r="U90" s="95">
        <f>IF(OR($C90="",U$21&lt;$B90),0,IF(U$21=$B90,OpenYearShare,1)*($N90*ContribMargin*IF(U$21=$B90,Ramp1,IF(U$21=$B90+1,Ramp2,1))-$P90-INDEX(LicByYear,AL90,U$21)))</f>
        <v>0</v>
      </c>
      <c r="V90" s="95">
        <f>IF(OR($C90="",V$21&lt;$B90),0,IF(V$21=$B90,OpenYearShare,1)*($N90*ContribMargin*IF(V$21=$B90,Ramp1,IF(V$21=$B90+1,Ramp2,1))-$P90-INDEX(LicByYear,AL90,V$21)))</f>
        <v>0</v>
      </c>
      <c r="W90" s="95">
        <f>IF(OR($C90="",W$21&lt;$B90),0,IF(W$21=$B90,OpenYearShare,1)*($N90*ContribMargin*IF(W$21=$B90,Ramp1,IF(W$21=$B90+1,Ramp2,1))-$P90-INDEX(LicByYear,AL90,W$21)))</f>
        <v>0</v>
      </c>
      <c r="X90" s="95">
        <f>IF(OR($C90="",X$21&lt;$B90),0,IF(X$21=$B90,OpenYearShare,1)*($N90*ContribMargin*IF(X$21=$B90,Ramp1,IF(X$21=$B90+1,Ramp2,1))-$P90-INDEX(LicByYear,AL90,X$21)))</f>
        <v>0</v>
      </c>
      <c r="Y90" s="95">
        <f>IF(OR($C90="",Y$21&lt;$B90),0,IF(Y$21=$B90,OpenYearShare,1)*($N90*ContribMargin*IF(Y$21=$B90,Ramp1,IF(Y$21=$B90+1,Ramp2,1))-$P90-INDEX(LicByYear,AL90,Y$21)))</f>
        <v>0</v>
      </c>
      <c r="Z90" s="95">
        <f>IF(OR($C90="",Z$21&lt;$B90),0,IF(Z$21=$B90,OpenYearShare,1)*($N90*ContribMargin*IF(Z$21=$B90,Ramp1,IF(Z$21=$B90+1,Ramp2,1))-$P90-INDEX(LicByYear,AL90,Z$21)))</f>
        <v>0</v>
      </c>
      <c r="AA90" s="95">
        <f>IF(OR($C90="",AA$21&lt;$B90),0,IF(AA$21=$B90,OpenYearShare,1)*($N90*ContribMargin*IF(AA$21=$B90,Ramp1,IF(AA$21=$B90+1,Ramp2,1))-$P90-INDEX(LicByYear,AL90,AA$21)))</f>
        <v>0</v>
      </c>
      <c r="AB90" s="95">
        <f>IF(OR($C90="",AB$21&lt;$B90),0,IF(AB$21=$B90,OpenYearShare,1)*($N90*ContribMargin*IF(AB$21=$B90,Ramp1,IF(AB$21=$B90+1,Ramp2,1))-$P90-INDEX(LicByYear,AL90,AB$21)))</f>
        <v>0</v>
      </c>
      <c r="AC90" s="95">
        <f>IF(OR($C90="",AC$21&lt;$B90),0,IF(AC$21=$B90,OpenYearShare,1)*($N90*ContribMargin*IF(AC$21=$B90,Ramp1,IF(AC$21=$B90+1,Ramp2,1))-$P90-INDEX(LicByYear,AL90,AC$21)))</f>
        <v>0</v>
      </c>
      <c r="AD90" s="95">
        <f>IF(OR($C90="",AD$21&lt;$B90),0,IF(AD$21=$B90,OpenYearShare,1)*($N90*ContribMargin*IF(AD$21=$B90,Ramp1,IF(AD$21=$B90+1,Ramp2,1))-$P90-INDEX(LicByYear,AL90,AD$21)))</f>
        <v>0</v>
      </c>
      <c r="AF90" s="82">
        <f>AF89+IF($C90="SPLUS",1,0)</f>
        <v>7</v>
      </c>
      <c r="AG90" s="82">
        <f>AG89+IF($C90="S",1,0)</f>
        <v>15</v>
      </c>
      <c r="AH90" s="82">
        <f>AH89+IF($C90="D",1,0)</f>
        <v>8</v>
      </c>
      <c r="AI90" s="105">
        <f>IF(OR($A90&gt;PlanStores,AF89&gt;=INDEX(Target,1)),-1000000000,INDEX(Target,1)*$A90-AF89*PlanStores)</f>
        <v>-1000000000</v>
      </c>
      <c r="AJ90" s="105">
        <f>IF(OR($A90&gt;PlanStores,AG89&gt;=INDEX(Target,2)),-1000000000,INDEX(Target,2)*$A90-AG89*PlanStores)</f>
        <v>-1000000000</v>
      </c>
      <c r="AK90" s="105">
        <f>IF(OR($A90&gt;PlanStores,AH89&gt;=INDEX(Target,3)),-1000000000,INDEX(Target,3)*$A90-AH89*PlanStores)</f>
        <v>-1000000000</v>
      </c>
      <c r="AL90" s="82" t="str">
        <f>IF($C90="","",MATCH($C90,TierCodes,0))</f>
        <v/>
      </c>
      <c r="AM90" s="82" t="str">
        <f>IF($C90="","",IF(OR(StreetChoice="Typical street for its size",INDEX(Cand,AL90)=0),"",MOD($D90-1,INDEX(Cand,AL90))+1))</f>
        <v/>
      </c>
      <c r="AN90" s="82" t="str">
        <f>IF(AM90="","",MATCH($C90&amp;"|"&amp;AM90,Melbourne!$AA$58:$AA$135,0))</f>
        <v/>
      </c>
      <c r="AO90" s="76" t="str">
        <f>IF($C90="","",Ramp1*$N90*ContribMargin-$P90-INDEX(LicPlan,AL90))</f>
        <v/>
      </c>
      <c r="AP90" s="76" t="str">
        <f>IF($C90="","",Ramp2*$N90*ContribMargin-$P90-INDEX(LicPlan,AL90))</f>
        <v/>
      </c>
      <c r="AR90" s="61" t="str">
        <f>IF($C90="","",MAX(Scale!$C$7,($D90+Scale!$C$8*($A90-$D90))^LOG(Scale!$C$6,2)))</f>
        <v/>
      </c>
      <c r="AS90" s="61" t="str">
        <f>IF($C90="","",1-IF(IF(Deal="Commit to the full plan",PlanStores,$A90)&gt;=PBAt4,Scale!$C$12,IF(IF(Deal="Commit to the full plan",PlanStores,$A90)&gt;=PBAt3,Scale!$C$11,IF(IF(Deal="Commit to the full plan",PlanStores,$A90)&gt;=PBAt2,Scale!$C$10,IF(IF(Deal="Commit to the full plan",PlanStores,$A90)&gt;=PBAt1,Scale!$C$9,0)))))</f>
        <v/>
      </c>
      <c r="AT90" s="61" t="str">
        <f>IF($C90="","",MAX(Scale!$D$7,($D90+Scale!$D$8*($A90-$D90))^LOG(Scale!$D$6,2)))</f>
        <v/>
      </c>
      <c r="AU90" s="61" t="str">
        <f>IF($C90="","",1-IF(IF(Deal="Commit to the full plan",PlanStores,$A90)&gt;=PBAt4,Scale!$D$12,IF(IF(Deal="Commit to the full plan",PlanStores,$A90)&gt;=PBAt3,Scale!$D$11,IF(IF(Deal="Commit to the full plan",PlanStores,$A90)&gt;=PBAt2,Scale!$D$10,IF(IF(Deal="Commit to the full plan",PlanStores,$A90)&gt;=PBAt1,Scale!$D$9,0)))))</f>
        <v/>
      </c>
      <c r="AV90" s="61" t="str">
        <f>IF($C90="","",MAX(Scale!$E$7,($D90+Scale!$E$8*($A90-$D90))^LOG(Scale!$E$6,2)))</f>
        <v/>
      </c>
      <c r="AW90" s="61" t="str">
        <f>IF($C90="","",1-IF(IF(Deal="Commit to the full plan",PlanStores,$A90)&gt;=PBAt4,Scale!$E$12,IF(IF(Deal="Commit to the full plan",PlanStores,$A90)&gt;=PBAt3,Scale!$E$11,IF(IF(Deal="Commit to the full plan",PlanStores,$A90)&gt;=PBAt2,Scale!$E$10,IF(IF(Deal="Commit to the full plan",PlanStores,$A90)&gt;=PBAt1,Scale!$E$9,0)))))</f>
        <v/>
      </c>
    </row>
    <row r="91">
      <c r="A91" s="110" t="n">
        <v>70</v>
      </c>
      <c r="B91" s="111" t="str">
        <f>IF($A91&gt;PlanStores,"",1+COUNTIF(CumOpenings,"&lt;"&amp;$A91))</f>
        <v/>
      </c>
      <c r="C91" s="14" t="str">
        <f>IF($A91&gt;PlanStores,"",IF(AND($A91=1,FlagshipFirst="Yes",INDEX(Target,1)&gt;0),"SPLUS",IF(AND(AI91&gt;=AJ91,AI91&gt;=AK91),"SPLUS",IF(AJ91&gt;=AK91,"S","D"))))</f>
        <v/>
      </c>
      <c r="D91" s="111" t="str">
        <f>IF($C91="","",IF($C91="SPLUS",AF91,IF($C91="S",AG91,AH91)))</f>
        <v/>
      </c>
      <c r="E91" s="112" t="str">
        <f>IF($C91="","",$D91+LearnShared*($A91-$D91))</f>
        <v/>
      </c>
      <c r="F91" s="85" t="str">
        <f>IF($C91="","",MAX(LearnFloor,$E91^LOG(LearnRate,2)))</f>
        <v/>
      </c>
      <c r="G91" s="85" t="str">
        <f>IF($C91="","",1-IF(IF(Deal="Commit to the full plan",PlanStores,$A91)&gt;=PBAt4,PBDisc4,IF(IF(Deal="Commit to the full plan",PlanStores,$A91)&gt;=PBAt3,PBDisc3,IF(IF(Deal="Commit to the full plan",PlanStores,$A91)&gt;=PBAt2,PBDisc2,IF(IF(Deal="Commit to the full plan",PlanStores,$A91)&gt;=PBAt1,PBDisc1,0)))))</f>
        <v/>
      </c>
      <c r="H91" s="39" t="str">
        <f>IF($C91="","",INDEX(BaseL,AL91)*$F91+INDEX(BaseV,AL91)*$G91+INDEX(BaseN,AL91))</f>
        <v/>
      </c>
      <c r="I91" s="39" t="str">
        <f>IF($C91="","",$H91*(1+BuildInflation)^($B91-1))</f>
        <v/>
      </c>
      <c r="J91" s="40" t="str">
        <f>IF($C91="","",IF(AN91="",IF(INDEX(Cand,AL91)=0,"No street of this size","Typical "&amp;LOWER(INDEX(TierNames,AL91))&amp;" street"),INDEX(Melbourne!$B$58:$B$135,AN91)))</f>
        <v/>
      </c>
      <c r="K91" s="40" t="str">
        <f>IF(OR($C91="",AN91=""),"",INDEX(Melbourne!$C$58:$C$135,AN91))</f>
        <v/>
      </c>
      <c r="L91" s="46" t="str">
        <f>IF($C91="","",IF(AN91="",INDEX(TypicalF,AL91),INDEX(Melbourne!$E$58:$E$135,AN91)))</f>
        <v/>
      </c>
      <c r="M91" s="86" t="str">
        <f>IF($C91="","",IF(AN91="",INDEX(TypicalQ,AL91),INDEX(Melbourne!$N$58:$N$135,AN91)))</f>
        <v/>
      </c>
      <c r="N91" s="39" t="str">
        <f>IF($C91="","",MIN($L91*Capture*$M91*Conversion*Ticket,INDEX(CapacityPsf,AL91)*INDEX(Area,AL91)))</f>
        <v/>
      </c>
      <c r="O91" s="39" t="str">
        <f>IF($C91="","",INDEX(Area,AL91)*RentPsf*($L91/Fref)^RentElasticity)</f>
        <v/>
      </c>
      <c r="P91" s="39" t="str">
        <f>IF($C91="","",$O91+INDEX(RunOther,AL91))</f>
        <v/>
      </c>
      <c r="Q91" s="95" t="str">
        <f>IF($C91="","",$N91*ContribMargin-$P91-INDEX(LicPlan,AL91))</f>
        <v/>
      </c>
      <c r="R91" s="113" t="str">
        <f>IF($C91="","",IF(AND(AO91&gt;=$H91,AO91&gt;0),$H91/AO91,IF(AND(AO91+AP91&gt;=$H91,AP91&gt;0),1+($H91-AO91)/AP91,IF($Q91&gt;0,2+($H91-AO91-AP91)/$Q91,"Never"))))</f>
        <v/>
      </c>
      <c r="S91" s="39" t="str">
        <f>IF($C91="","",StockWeeks/52*$N91*(1-GrossMargin))</f>
        <v/>
      </c>
      <c r="U91" s="95">
        <f>IF(OR($C91="",U$21&lt;$B91),0,IF(U$21=$B91,OpenYearShare,1)*($N91*ContribMargin*IF(U$21=$B91,Ramp1,IF(U$21=$B91+1,Ramp2,1))-$P91-INDEX(LicByYear,AL91,U$21)))</f>
        <v>0</v>
      </c>
      <c r="V91" s="95">
        <f>IF(OR($C91="",V$21&lt;$B91),0,IF(V$21=$B91,OpenYearShare,1)*($N91*ContribMargin*IF(V$21=$B91,Ramp1,IF(V$21=$B91+1,Ramp2,1))-$P91-INDEX(LicByYear,AL91,V$21)))</f>
        <v>0</v>
      </c>
      <c r="W91" s="95">
        <f>IF(OR($C91="",W$21&lt;$B91),0,IF(W$21=$B91,OpenYearShare,1)*($N91*ContribMargin*IF(W$21=$B91,Ramp1,IF(W$21=$B91+1,Ramp2,1))-$P91-INDEX(LicByYear,AL91,W$21)))</f>
        <v>0</v>
      </c>
      <c r="X91" s="95">
        <f>IF(OR($C91="",X$21&lt;$B91),0,IF(X$21=$B91,OpenYearShare,1)*($N91*ContribMargin*IF(X$21=$B91,Ramp1,IF(X$21=$B91+1,Ramp2,1))-$P91-INDEX(LicByYear,AL91,X$21)))</f>
        <v>0</v>
      </c>
      <c r="Y91" s="95">
        <f>IF(OR($C91="",Y$21&lt;$B91),0,IF(Y$21=$B91,OpenYearShare,1)*($N91*ContribMargin*IF(Y$21=$B91,Ramp1,IF(Y$21=$B91+1,Ramp2,1))-$P91-INDEX(LicByYear,AL91,Y$21)))</f>
        <v>0</v>
      </c>
      <c r="Z91" s="95">
        <f>IF(OR($C91="",Z$21&lt;$B91),0,IF(Z$21=$B91,OpenYearShare,1)*($N91*ContribMargin*IF(Z$21=$B91,Ramp1,IF(Z$21=$B91+1,Ramp2,1))-$P91-INDEX(LicByYear,AL91,Z$21)))</f>
        <v>0</v>
      </c>
      <c r="AA91" s="95">
        <f>IF(OR($C91="",AA$21&lt;$B91),0,IF(AA$21=$B91,OpenYearShare,1)*($N91*ContribMargin*IF(AA$21=$B91,Ramp1,IF(AA$21=$B91+1,Ramp2,1))-$P91-INDEX(LicByYear,AL91,AA$21)))</f>
        <v>0</v>
      </c>
      <c r="AB91" s="95">
        <f>IF(OR($C91="",AB$21&lt;$B91),0,IF(AB$21=$B91,OpenYearShare,1)*($N91*ContribMargin*IF(AB$21=$B91,Ramp1,IF(AB$21=$B91+1,Ramp2,1))-$P91-INDEX(LicByYear,AL91,AB$21)))</f>
        <v>0</v>
      </c>
      <c r="AC91" s="95">
        <f>IF(OR($C91="",AC$21&lt;$B91),0,IF(AC$21=$B91,OpenYearShare,1)*($N91*ContribMargin*IF(AC$21=$B91,Ramp1,IF(AC$21=$B91+1,Ramp2,1))-$P91-INDEX(LicByYear,AL91,AC$21)))</f>
        <v>0</v>
      </c>
      <c r="AD91" s="95">
        <f>IF(OR($C91="",AD$21&lt;$B91),0,IF(AD$21=$B91,OpenYearShare,1)*($N91*ContribMargin*IF(AD$21=$B91,Ramp1,IF(AD$21=$B91+1,Ramp2,1))-$P91-INDEX(LicByYear,AL91,AD$21)))</f>
        <v>0</v>
      </c>
      <c r="AF91" s="82">
        <f>AF90+IF($C91="SPLUS",1,0)</f>
        <v>7</v>
      </c>
      <c r="AG91" s="82">
        <f>AG90+IF($C91="S",1,0)</f>
        <v>15</v>
      </c>
      <c r="AH91" s="82">
        <f>AH90+IF($C91="D",1,0)</f>
        <v>8</v>
      </c>
      <c r="AI91" s="105">
        <f>IF(OR($A91&gt;PlanStores,AF90&gt;=INDEX(Target,1)),-1000000000,INDEX(Target,1)*$A91-AF90*PlanStores)</f>
        <v>-1000000000</v>
      </c>
      <c r="AJ91" s="105">
        <f>IF(OR($A91&gt;PlanStores,AG90&gt;=INDEX(Target,2)),-1000000000,INDEX(Target,2)*$A91-AG90*PlanStores)</f>
        <v>-1000000000</v>
      </c>
      <c r="AK91" s="105">
        <f>IF(OR($A91&gt;PlanStores,AH90&gt;=INDEX(Target,3)),-1000000000,INDEX(Target,3)*$A91-AH90*PlanStores)</f>
        <v>-1000000000</v>
      </c>
      <c r="AL91" s="82" t="str">
        <f>IF($C91="","",MATCH($C91,TierCodes,0))</f>
        <v/>
      </c>
      <c r="AM91" s="82" t="str">
        <f>IF($C91="","",IF(OR(StreetChoice="Typical street for its size",INDEX(Cand,AL91)=0),"",MOD($D91-1,INDEX(Cand,AL91))+1))</f>
        <v/>
      </c>
      <c r="AN91" s="82" t="str">
        <f>IF(AM91="","",MATCH($C91&amp;"|"&amp;AM91,Melbourne!$AA$58:$AA$135,0))</f>
        <v/>
      </c>
      <c r="AO91" s="76" t="str">
        <f>IF($C91="","",Ramp1*$N91*ContribMargin-$P91-INDEX(LicPlan,AL91))</f>
        <v/>
      </c>
      <c r="AP91" s="76" t="str">
        <f>IF($C91="","",Ramp2*$N91*ContribMargin-$P91-INDEX(LicPlan,AL91))</f>
        <v/>
      </c>
      <c r="AR91" s="61" t="str">
        <f>IF($C91="","",MAX(Scale!$C$7,($D91+Scale!$C$8*($A91-$D91))^LOG(Scale!$C$6,2)))</f>
        <v/>
      </c>
      <c r="AS91" s="61" t="str">
        <f>IF($C91="","",1-IF(IF(Deal="Commit to the full plan",PlanStores,$A91)&gt;=PBAt4,Scale!$C$12,IF(IF(Deal="Commit to the full plan",PlanStores,$A91)&gt;=PBAt3,Scale!$C$11,IF(IF(Deal="Commit to the full plan",PlanStores,$A91)&gt;=PBAt2,Scale!$C$10,IF(IF(Deal="Commit to the full plan",PlanStores,$A91)&gt;=PBAt1,Scale!$C$9,0)))))</f>
        <v/>
      </c>
      <c r="AT91" s="61" t="str">
        <f>IF($C91="","",MAX(Scale!$D$7,($D91+Scale!$D$8*($A91-$D91))^LOG(Scale!$D$6,2)))</f>
        <v/>
      </c>
      <c r="AU91" s="61" t="str">
        <f>IF($C91="","",1-IF(IF(Deal="Commit to the full plan",PlanStores,$A91)&gt;=PBAt4,Scale!$D$12,IF(IF(Deal="Commit to the full plan",PlanStores,$A91)&gt;=PBAt3,Scale!$D$11,IF(IF(Deal="Commit to the full plan",PlanStores,$A91)&gt;=PBAt2,Scale!$D$10,IF(IF(Deal="Commit to the full plan",PlanStores,$A91)&gt;=PBAt1,Scale!$D$9,0)))))</f>
        <v/>
      </c>
      <c r="AV91" s="61" t="str">
        <f>IF($C91="","",MAX(Scale!$E$7,($D91+Scale!$E$8*($A91-$D91))^LOG(Scale!$E$6,2)))</f>
        <v/>
      </c>
      <c r="AW91" s="61" t="str">
        <f>IF($C91="","",1-IF(IF(Deal="Commit to the full plan",PlanStores,$A91)&gt;=PBAt4,Scale!$E$12,IF(IF(Deal="Commit to the full plan",PlanStores,$A91)&gt;=PBAt3,Scale!$E$11,IF(IF(Deal="Commit to the full plan",PlanStores,$A91)&gt;=PBAt2,Scale!$E$10,IF(IF(Deal="Commit to the full plan",PlanStores,$A91)&gt;=PBAt1,Scale!$E$9,0)))))</f>
        <v/>
      </c>
    </row>
    <row r="92">
      <c r="A92" s="110" t="n">
        <v>71</v>
      </c>
      <c r="B92" s="111" t="str">
        <f>IF($A92&gt;PlanStores,"",1+COUNTIF(CumOpenings,"&lt;"&amp;$A92))</f>
        <v/>
      </c>
      <c r="C92" s="14" t="str">
        <f>IF($A92&gt;PlanStores,"",IF(AND($A92=1,FlagshipFirst="Yes",INDEX(Target,1)&gt;0),"SPLUS",IF(AND(AI92&gt;=AJ92,AI92&gt;=AK92),"SPLUS",IF(AJ92&gt;=AK92,"S","D"))))</f>
        <v/>
      </c>
      <c r="D92" s="111" t="str">
        <f>IF($C92="","",IF($C92="SPLUS",AF92,IF($C92="S",AG92,AH92)))</f>
        <v/>
      </c>
      <c r="E92" s="112" t="str">
        <f>IF($C92="","",$D92+LearnShared*($A92-$D92))</f>
        <v/>
      </c>
      <c r="F92" s="85" t="str">
        <f>IF($C92="","",MAX(LearnFloor,$E92^LOG(LearnRate,2)))</f>
        <v/>
      </c>
      <c r="G92" s="85" t="str">
        <f>IF($C92="","",1-IF(IF(Deal="Commit to the full plan",PlanStores,$A92)&gt;=PBAt4,PBDisc4,IF(IF(Deal="Commit to the full plan",PlanStores,$A92)&gt;=PBAt3,PBDisc3,IF(IF(Deal="Commit to the full plan",PlanStores,$A92)&gt;=PBAt2,PBDisc2,IF(IF(Deal="Commit to the full plan",PlanStores,$A92)&gt;=PBAt1,PBDisc1,0)))))</f>
        <v/>
      </c>
      <c r="H92" s="39" t="str">
        <f>IF($C92="","",INDEX(BaseL,AL92)*$F92+INDEX(BaseV,AL92)*$G92+INDEX(BaseN,AL92))</f>
        <v/>
      </c>
      <c r="I92" s="39" t="str">
        <f>IF($C92="","",$H92*(1+BuildInflation)^($B92-1))</f>
        <v/>
      </c>
      <c r="J92" s="40" t="str">
        <f>IF($C92="","",IF(AN92="",IF(INDEX(Cand,AL92)=0,"No street of this size","Typical "&amp;LOWER(INDEX(TierNames,AL92))&amp;" street"),INDEX(Melbourne!$B$58:$B$135,AN92)))</f>
        <v/>
      </c>
      <c r="K92" s="40" t="str">
        <f>IF(OR($C92="",AN92=""),"",INDEX(Melbourne!$C$58:$C$135,AN92))</f>
        <v/>
      </c>
      <c r="L92" s="46" t="str">
        <f>IF($C92="","",IF(AN92="",INDEX(TypicalF,AL92),INDEX(Melbourne!$E$58:$E$135,AN92)))</f>
        <v/>
      </c>
      <c r="M92" s="86" t="str">
        <f>IF($C92="","",IF(AN92="",INDEX(TypicalQ,AL92),INDEX(Melbourne!$N$58:$N$135,AN92)))</f>
        <v/>
      </c>
      <c r="N92" s="39" t="str">
        <f>IF($C92="","",MIN($L92*Capture*$M92*Conversion*Ticket,INDEX(CapacityPsf,AL92)*INDEX(Area,AL92)))</f>
        <v/>
      </c>
      <c r="O92" s="39" t="str">
        <f>IF($C92="","",INDEX(Area,AL92)*RentPsf*($L92/Fref)^RentElasticity)</f>
        <v/>
      </c>
      <c r="P92" s="39" t="str">
        <f>IF($C92="","",$O92+INDEX(RunOther,AL92))</f>
        <v/>
      </c>
      <c r="Q92" s="95" t="str">
        <f>IF($C92="","",$N92*ContribMargin-$P92-INDEX(LicPlan,AL92))</f>
        <v/>
      </c>
      <c r="R92" s="113" t="str">
        <f>IF($C92="","",IF(AND(AO92&gt;=$H92,AO92&gt;0),$H92/AO92,IF(AND(AO92+AP92&gt;=$H92,AP92&gt;0),1+($H92-AO92)/AP92,IF($Q92&gt;0,2+($H92-AO92-AP92)/$Q92,"Never"))))</f>
        <v/>
      </c>
      <c r="S92" s="39" t="str">
        <f>IF($C92="","",StockWeeks/52*$N92*(1-GrossMargin))</f>
        <v/>
      </c>
      <c r="U92" s="95">
        <f>IF(OR($C92="",U$21&lt;$B92),0,IF(U$21=$B92,OpenYearShare,1)*($N92*ContribMargin*IF(U$21=$B92,Ramp1,IF(U$21=$B92+1,Ramp2,1))-$P92-INDEX(LicByYear,AL92,U$21)))</f>
        <v>0</v>
      </c>
      <c r="V92" s="95">
        <f>IF(OR($C92="",V$21&lt;$B92),0,IF(V$21=$B92,OpenYearShare,1)*($N92*ContribMargin*IF(V$21=$B92,Ramp1,IF(V$21=$B92+1,Ramp2,1))-$P92-INDEX(LicByYear,AL92,V$21)))</f>
        <v>0</v>
      </c>
      <c r="W92" s="95">
        <f>IF(OR($C92="",W$21&lt;$B92),0,IF(W$21=$B92,OpenYearShare,1)*($N92*ContribMargin*IF(W$21=$B92,Ramp1,IF(W$21=$B92+1,Ramp2,1))-$P92-INDEX(LicByYear,AL92,W$21)))</f>
        <v>0</v>
      </c>
      <c r="X92" s="95">
        <f>IF(OR($C92="",X$21&lt;$B92),0,IF(X$21=$B92,OpenYearShare,1)*($N92*ContribMargin*IF(X$21=$B92,Ramp1,IF(X$21=$B92+1,Ramp2,1))-$P92-INDEX(LicByYear,AL92,X$21)))</f>
        <v>0</v>
      </c>
      <c r="Y92" s="95">
        <f>IF(OR($C92="",Y$21&lt;$B92),0,IF(Y$21=$B92,OpenYearShare,1)*($N92*ContribMargin*IF(Y$21=$B92,Ramp1,IF(Y$21=$B92+1,Ramp2,1))-$P92-INDEX(LicByYear,AL92,Y$21)))</f>
        <v>0</v>
      </c>
      <c r="Z92" s="95">
        <f>IF(OR($C92="",Z$21&lt;$B92),0,IF(Z$21=$B92,OpenYearShare,1)*($N92*ContribMargin*IF(Z$21=$B92,Ramp1,IF(Z$21=$B92+1,Ramp2,1))-$P92-INDEX(LicByYear,AL92,Z$21)))</f>
        <v>0</v>
      </c>
      <c r="AA92" s="95">
        <f>IF(OR($C92="",AA$21&lt;$B92),0,IF(AA$21=$B92,OpenYearShare,1)*($N92*ContribMargin*IF(AA$21=$B92,Ramp1,IF(AA$21=$B92+1,Ramp2,1))-$P92-INDEX(LicByYear,AL92,AA$21)))</f>
        <v>0</v>
      </c>
      <c r="AB92" s="95">
        <f>IF(OR($C92="",AB$21&lt;$B92),0,IF(AB$21=$B92,OpenYearShare,1)*($N92*ContribMargin*IF(AB$21=$B92,Ramp1,IF(AB$21=$B92+1,Ramp2,1))-$P92-INDEX(LicByYear,AL92,AB$21)))</f>
        <v>0</v>
      </c>
      <c r="AC92" s="95">
        <f>IF(OR($C92="",AC$21&lt;$B92),0,IF(AC$21=$B92,OpenYearShare,1)*($N92*ContribMargin*IF(AC$21=$B92,Ramp1,IF(AC$21=$B92+1,Ramp2,1))-$P92-INDEX(LicByYear,AL92,AC$21)))</f>
        <v>0</v>
      </c>
      <c r="AD92" s="95">
        <f>IF(OR($C92="",AD$21&lt;$B92),0,IF(AD$21=$B92,OpenYearShare,1)*($N92*ContribMargin*IF(AD$21=$B92,Ramp1,IF(AD$21=$B92+1,Ramp2,1))-$P92-INDEX(LicByYear,AL92,AD$21)))</f>
        <v>0</v>
      </c>
      <c r="AF92" s="82">
        <f>AF91+IF($C92="SPLUS",1,0)</f>
        <v>7</v>
      </c>
      <c r="AG92" s="82">
        <f>AG91+IF($C92="S",1,0)</f>
        <v>15</v>
      </c>
      <c r="AH92" s="82">
        <f>AH91+IF($C92="D",1,0)</f>
        <v>8</v>
      </c>
      <c r="AI92" s="105">
        <f>IF(OR($A92&gt;PlanStores,AF91&gt;=INDEX(Target,1)),-1000000000,INDEX(Target,1)*$A92-AF91*PlanStores)</f>
        <v>-1000000000</v>
      </c>
      <c r="AJ92" s="105">
        <f>IF(OR($A92&gt;PlanStores,AG91&gt;=INDEX(Target,2)),-1000000000,INDEX(Target,2)*$A92-AG91*PlanStores)</f>
        <v>-1000000000</v>
      </c>
      <c r="AK92" s="105">
        <f>IF(OR($A92&gt;PlanStores,AH91&gt;=INDEX(Target,3)),-1000000000,INDEX(Target,3)*$A92-AH91*PlanStores)</f>
        <v>-1000000000</v>
      </c>
      <c r="AL92" s="82" t="str">
        <f>IF($C92="","",MATCH($C92,TierCodes,0))</f>
        <v/>
      </c>
      <c r="AM92" s="82" t="str">
        <f>IF($C92="","",IF(OR(StreetChoice="Typical street for its size",INDEX(Cand,AL92)=0),"",MOD($D92-1,INDEX(Cand,AL92))+1))</f>
        <v/>
      </c>
      <c r="AN92" s="82" t="str">
        <f>IF(AM92="","",MATCH($C92&amp;"|"&amp;AM92,Melbourne!$AA$58:$AA$135,0))</f>
        <v/>
      </c>
      <c r="AO92" s="76" t="str">
        <f>IF($C92="","",Ramp1*$N92*ContribMargin-$P92-INDEX(LicPlan,AL92))</f>
        <v/>
      </c>
      <c r="AP92" s="76" t="str">
        <f>IF($C92="","",Ramp2*$N92*ContribMargin-$P92-INDEX(LicPlan,AL92))</f>
        <v/>
      </c>
      <c r="AR92" s="61" t="str">
        <f>IF($C92="","",MAX(Scale!$C$7,($D92+Scale!$C$8*($A92-$D92))^LOG(Scale!$C$6,2)))</f>
        <v/>
      </c>
      <c r="AS92" s="61" t="str">
        <f>IF($C92="","",1-IF(IF(Deal="Commit to the full plan",PlanStores,$A92)&gt;=PBAt4,Scale!$C$12,IF(IF(Deal="Commit to the full plan",PlanStores,$A92)&gt;=PBAt3,Scale!$C$11,IF(IF(Deal="Commit to the full plan",PlanStores,$A92)&gt;=PBAt2,Scale!$C$10,IF(IF(Deal="Commit to the full plan",PlanStores,$A92)&gt;=PBAt1,Scale!$C$9,0)))))</f>
        <v/>
      </c>
      <c r="AT92" s="61" t="str">
        <f>IF($C92="","",MAX(Scale!$D$7,($D92+Scale!$D$8*($A92-$D92))^LOG(Scale!$D$6,2)))</f>
        <v/>
      </c>
      <c r="AU92" s="61" t="str">
        <f>IF($C92="","",1-IF(IF(Deal="Commit to the full plan",PlanStores,$A92)&gt;=PBAt4,Scale!$D$12,IF(IF(Deal="Commit to the full plan",PlanStores,$A92)&gt;=PBAt3,Scale!$D$11,IF(IF(Deal="Commit to the full plan",PlanStores,$A92)&gt;=PBAt2,Scale!$D$10,IF(IF(Deal="Commit to the full plan",PlanStores,$A92)&gt;=PBAt1,Scale!$D$9,0)))))</f>
        <v/>
      </c>
      <c r="AV92" s="61" t="str">
        <f>IF($C92="","",MAX(Scale!$E$7,($D92+Scale!$E$8*($A92-$D92))^LOG(Scale!$E$6,2)))</f>
        <v/>
      </c>
      <c r="AW92" s="61" t="str">
        <f>IF($C92="","",1-IF(IF(Deal="Commit to the full plan",PlanStores,$A92)&gt;=PBAt4,Scale!$E$12,IF(IF(Deal="Commit to the full plan",PlanStores,$A92)&gt;=PBAt3,Scale!$E$11,IF(IF(Deal="Commit to the full plan",PlanStores,$A92)&gt;=PBAt2,Scale!$E$10,IF(IF(Deal="Commit to the full plan",PlanStores,$A92)&gt;=PBAt1,Scale!$E$9,0)))))</f>
        <v/>
      </c>
    </row>
    <row r="93">
      <c r="A93" s="110" t="n">
        <v>72</v>
      </c>
      <c r="B93" s="111" t="str">
        <f>IF($A93&gt;PlanStores,"",1+COUNTIF(CumOpenings,"&lt;"&amp;$A93))</f>
        <v/>
      </c>
      <c r="C93" s="14" t="str">
        <f>IF($A93&gt;PlanStores,"",IF(AND($A93=1,FlagshipFirst="Yes",INDEX(Target,1)&gt;0),"SPLUS",IF(AND(AI93&gt;=AJ93,AI93&gt;=AK93),"SPLUS",IF(AJ93&gt;=AK93,"S","D"))))</f>
        <v/>
      </c>
      <c r="D93" s="111" t="str">
        <f>IF($C93="","",IF($C93="SPLUS",AF93,IF($C93="S",AG93,AH93)))</f>
        <v/>
      </c>
      <c r="E93" s="112" t="str">
        <f>IF($C93="","",$D93+LearnShared*($A93-$D93))</f>
        <v/>
      </c>
      <c r="F93" s="85" t="str">
        <f>IF($C93="","",MAX(LearnFloor,$E93^LOG(LearnRate,2)))</f>
        <v/>
      </c>
      <c r="G93" s="85" t="str">
        <f>IF($C93="","",1-IF(IF(Deal="Commit to the full plan",PlanStores,$A93)&gt;=PBAt4,PBDisc4,IF(IF(Deal="Commit to the full plan",PlanStores,$A93)&gt;=PBAt3,PBDisc3,IF(IF(Deal="Commit to the full plan",PlanStores,$A93)&gt;=PBAt2,PBDisc2,IF(IF(Deal="Commit to the full plan",PlanStores,$A93)&gt;=PBAt1,PBDisc1,0)))))</f>
        <v/>
      </c>
      <c r="H93" s="39" t="str">
        <f>IF($C93="","",INDEX(BaseL,AL93)*$F93+INDEX(BaseV,AL93)*$G93+INDEX(BaseN,AL93))</f>
        <v/>
      </c>
      <c r="I93" s="39" t="str">
        <f>IF($C93="","",$H93*(1+BuildInflation)^($B93-1))</f>
        <v/>
      </c>
      <c r="J93" s="40" t="str">
        <f>IF($C93="","",IF(AN93="",IF(INDEX(Cand,AL93)=0,"No street of this size","Typical "&amp;LOWER(INDEX(TierNames,AL93))&amp;" street"),INDEX(Melbourne!$B$58:$B$135,AN93)))</f>
        <v/>
      </c>
      <c r="K93" s="40" t="str">
        <f>IF(OR($C93="",AN93=""),"",INDEX(Melbourne!$C$58:$C$135,AN93))</f>
        <v/>
      </c>
      <c r="L93" s="46" t="str">
        <f>IF($C93="","",IF(AN93="",INDEX(TypicalF,AL93),INDEX(Melbourne!$E$58:$E$135,AN93)))</f>
        <v/>
      </c>
      <c r="M93" s="86" t="str">
        <f>IF($C93="","",IF(AN93="",INDEX(TypicalQ,AL93),INDEX(Melbourne!$N$58:$N$135,AN93)))</f>
        <v/>
      </c>
      <c r="N93" s="39" t="str">
        <f>IF($C93="","",MIN($L93*Capture*$M93*Conversion*Ticket,INDEX(CapacityPsf,AL93)*INDEX(Area,AL93)))</f>
        <v/>
      </c>
      <c r="O93" s="39" t="str">
        <f>IF($C93="","",INDEX(Area,AL93)*RentPsf*($L93/Fref)^RentElasticity)</f>
        <v/>
      </c>
      <c r="P93" s="39" t="str">
        <f>IF($C93="","",$O93+INDEX(RunOther,AL93))</f>
        <v/>
      </c>
      <c r="Q93" s="95" t="str">
        <f>IF($C93="","",$N93*ContribMargin-$P93-INDEX(LicPlan,AL93))</f>
        <v/>
      </c>
      <c r="R93" s="113" t="str">
        <f>IF($C93="","",IF(AND(AO93&gt;=$H93,AO93&gt;0),$H93/AO93,IF(AND(AO93+AP93&gt;=$H93,AP93&gt;0),1+($H93-AO93)/AP93,IF($Q93&gt;0,2+($H93-AO93-AP93)/$Q93,"Never"))))</f>
        <v/>
      </c>
      <c r="S93" s="39" t="str">
        <f>IF($C93="","",StockWeeks/52*$N93*(1-GrossMargin))</f>
        <v/>
      </c>
      <c r="U93" s="95">
        <f>IF(OR($C93="",U$21&lt;$B93),0,IF(U$21=$B93,OpenYearShare,1)*($N93*ContribMargin*IF(U$21=$B93,Ramp1,IF(U$21=$B93+1,Ramp2,1))-$P93-INDEX(LicByYear,AL93,U$21)))</f>
        <v>0</v>
      </c>
      <c r="V93" s="95">
        <f>IF(OR($C93="",V$21&lt;$B93),0,IF(V$21=$B93,OpenYearShare,1)*($N93*ContribMargin*IF(V$21=$B93,Ramp1,IF(V$21=$B93+1,Ramp2,1))-$P93-INDEX(LicByYear,AL93,V$21)))</f>
        <v>0</v>
      </c>
      <c r="W93" s="95">
        <f>IF(OR($C93="",W$21&lt;$B93),0,IF(W$21=$B93,OpenYearShare,1)*($N93*ContribMargin*IF(W$21=$B93,Ramp1,IF(W$21=$B93+1,Ramp2,1))-$P93-INDEX(LicByYear,AL93,W$21)))</f>
        <v>0</v>
      </c>
      <c r="X93" s="95">
        <f>IF(OR($C93="",X$21&lt;$B93),0,IF(X$21=$B93,OpenYearShare,1)*($N93*ContribMargin*IF(X$21=$B93,Ramp1,IF(X$21=$B93+1,Ramp2,1))-$P93-INDEX(LicByYear,AL93,X$21)))</f>
        <v>0</v>
      </c>
      <c r="Y93" s="95">
        <f>IF(OR($C93="",Y$21&lt;$B93),0,IF(Y$21=$B93,OpenYearShare,1)*($N93*ContribMargin*IF(Y$21=$B93,Ramp1,IF(Y$21=$B93+1,Ramp2,1))-$P93-INDEX(LicByYear,AL93,Y$21)))</f>
        <v>0</v>
      </c>
      <c r="Z93" s="95">
        <f>IF(OR($C93="",Z$21&lt;$B93),0,IF(Z$21=$B93,OpenYearShare,1)*($N93*ContribMargin*IF(Z$21=$B93,Ramp1,IF(Z$21=$B93+1,Ramp2,1))-$P93-INDEX(LicByYear,AL93,Z$21)))</f>
        <v>0</v>
      </c>
      <c r="AA93" s="95">
        <f>IF(OR($C93="",AA$21&lt;$B93),0,IF(AA$21=$B93,OpenYearShare,1)*($N93*ContribMargin*IF(AA$21=$B93,Ramp1,IF(AA$21=$B93+1,Ramp2,1))-$P93-INDEX(LicByYear,AL93,AA$21)))</f>
        <v>0</v>
      </c>
      <c r="AB93" s="95">
        <f>IF(OR($C93="",AB$21&lt;$B93),0,IF(AB$21=$B93,OpenYearShare,1)*($N93*ContribMargin*IF(AB$21=$B93,Ramp1,IF(AB$21=$B93+1,Ramp2,1))-$P93-INDEX(LicByYear,AL93,AB$21)))</f>
        <v>0</v>
      </c>
      <c r="AC93" s="95">
        <f>IF(OR($C93="",AC$21&lt;$B93),0,IF(AC$21=$B93,OpenYearShare,1)*($N93*ContribMargin*IF(AC$21=$B93,Ramp1,IF(AC$21=$B93+1,Ramp2,1))-$P93-INDEX(LicByYear,AL93,AC$21)))</f>
        <v>0</v>
      </c>
      <c r="AD93" s="95">
        <f>IF(OR($C93="",AD$21&lt;$B93),0,IF(AD$21=$B93,OpenYearShare,1)*($N93*ContribMargin*IF(AD$21=$B93,Ramp1,IF(AD$21=$B93+1,Ramp2,1))-$P93-INDEX(LicByYear,AL93,AD$21)))</f>
        <v>0</v>
      </c>
      <c r="AF93" s="82">
        <f>AF92+IF($C93="SPLUS",1,0)</f>
        <v>7</v>
      </c>
      <c r="AG93" s="82">
        <f>AG92+IF($C93="S",1,0)</f>
        <v>15</v>
      </c>
      <c r="AH93" s="82">
        <f>AH92+IF($C93="D",1,0)</f>
        <v>8</v>
      </c>
      <c r="AI93" s="105">
        <f>IF(OR($A93&gt;PlanStores,AF92&gt;=INDEX(Target,1)),-1000000000,INDEX(Target,1)*$A93-AF92*PlanStores)</f>
        <v>-1000000000</v>
      </c>
      <c r="AJ93" s="105">
        <f>IF(OR($A93&gt;PlanStores,AG92&gt;=INDEX(Target,2)),-1000000000,INDEX(Target,2)*$A93-AG92*PlanStores)</f>
        <v>-1000000000</v>
      </c>
      <c r="AK93" s="105">
        <f>IF(OR($A93&gt;PlanStores,AH92&gt;=INDEX(Target,3)),-1000000000,INDEX(Target,3)*$A93-AH92*PlanStores)</f>
        <v>-1000000000</v>
      </c>
      <c r="AL93" s="82" t="str">
        <f>IF($C93="","",MATCH($C93,TierCodes,0))</f>
        <v/>
      </c>
      <c r="AM93" s="82" t="str">
        <f>IF($C93="","",IF(OR(StreetChoice="Typical street for its size",INDEX(Cand,AL93)=0),"",MOD($D93-1,INDEX(Cand,AL93))+1))</f>
        <v/>
      </c>
      <c r="AN93" s="82" t="str">
        <f>IF(AM93="","",MATCH($C93&amp;"|"&amp;AM93,Melbourne!$AA$58:$AA$135,0))</f>
        <v/>
      </c>
      <c r="AO93" s="76" t="str">
        <f>IF($C93="","",Ramp1*$N93*ContribMargin-$P93-INDEX(LicPlan,AL93))</f>
        <v/>
      </c>
      <c r="AP93" s="76" t="str">
        <f>IF($C93="","",Ramp2*$N93*ContribMargin-$P93-INDEX(LicPlan,AL93))</f>
        <v/>
      </c>
      <c r="AR93" s="61" t="str">
        <f>IF($C93="","",MAX(Scale!$C$7,($D93+Scale!$C$8*($A93-$D93))^LOG(Scale!$C$6,2)))</f>
        <v/>
      </c>
      <c r="AS93" s="61" t="str">
        <f>IF($C93="","",1-IF(IF(Deal="Commit to the full plan",PlanStores,$A93)&gt;=PBAt4,Scale!$C$12,IF(IF(Deal="Commit to the full plan",PlanStores,$A93)&gt;=PBAt3,Scale!$C$11,IF(IF(Deal="Commit to the full plan",PlanStores,$A93)&gt;=PBAt2,Scale!$C$10,IF(IF(Deal="Commit to the full plan",PlanStores,$A93)&gt;=PBAt1,Scale!$C$9,0)))))</f>
        <v/>
      </c>
      <c r="AT93" s="61" t="str">
        <f>IF($C93="","",MAX(Scale!$D$7,($D93+Scale!$D$8*($A93-$D93))^LOG(Scale!$D$6,2)))</f>
        <v/>
      </c>
      <c r="AU93" s="61" t="str">
        <f>IF($C93="","",1-IF(IF(Deal="Commit to the full plan",PlanStores,$A93)&gt;=PBAt4,Scale!$D$12,IF(IF(Deal="Commit to the full plan",PlanStores,$A93)&gt;=PBAt3,Scale!$D$11,IF(IF(Deal="Commit to the full plan",PlanStores,$A93)&gt;=PBAt2,Scale!$D$10,IF(IF(Deal="Commit to the full plan",PlanStores,$A93)&gt;=PBAt1,Scale!$D$9,0)))))</f>
        <v/>
      </c>
      <c r="AV93" s="61" t="str">
        <f>IF($C93="","",MAX(Scale!$E$7,($D93+Scale!$E$8*($A93-$D93))^LOG(Scale!$E$6,2)))</f>
        <v/>
      </c>
      <c r="AW93" s="61" t="str">
        <f>IF($C93="","",1-IF(IF(Deal="Commit to the full plan",PlanStores,$A93)&gt;=PBAt4,Scale!$E$12,IF(IF(Deal="Commit to the full plan",PlanStores,$A93)&gt;=PBAt3,Scale!$E$11,IF(IF(Deal="Commit to the full plan",PlanStores,$A93)&gt;=PBAt2,Scale!$E$10,IF(IF(Deal="Commit to the full plan",PlanStores,$A93)&gt;=PBAt1,Scale!$E$9,0)))))</f>
        <v/>
      </c>
    </row>
    <row r="94">
      <c r="A94" s="110" t="n">
        <v>73</v>
      </c>
      <c r="B94" s="111" t="str">
        <f>IF($A94&gt;PlanStores,"",1+COUNTIF(CumOpenings,"&lt;"&amp;$A94))</f>
        <v/>
      </c>
      <c r="C94" s="14" t="str">
        <f>IF($A94&gt;PlanStores,"",IF(AND($A94=1,FlagshipFirst="Yes",INDEX(Target,1)&gt;0),"SPLUS",IF(AND(AI94&gt;=AJ94,AI94&gt;=AK94),"SPLUS",IF(AJ94&gt;=AK94,"S","D"))))</f>
        <v/>
      </c>
      <c r="D94" s="111" t="str">
        <f>IF($C94="","",IF($C94="SPLUS",AF94,IF($C94="S",AG94,AH94)))</f>
        <v/>
      </c>
      <c r="E94" s="112" t="str">
        <f>IF($C94="","",$D94+LearnShared*($A94-$D94))</f>
        <v/>
      </c>
      <c r="F94" s="85" t="str">
        <f>IF($C94="","",MAX(LearnFloor,$E94^LOG(LearnRate,2)))</f>
        <v/>
      </c>
      <c r="G94" s="85" t="str">
        <f>IF($C94="","",1-IF(IF(Deal="Commit to the full plan",PlanStores,$A94)&gt;=PBAt4,PBDisc4,IF(IF(Deal="Commit to the full plan",PlanStores,$A94)&gt;=PBAt3,PBDisc3,IF(IF(Deal="Commit to the full plan",PlanStores,$A94)&gt;=PBAt2,PBDisc2,IF(IF(Deal="Commit to the full plan",PlanStores,$A94)&gt;=PBAt1,PBDisc1,0)))))</f>
        <v/>
      </c>
      <c r="H94" s="39" t="str">
        <f>IF($C94="","",INDEX(BaseL,AL94)*$F94+INDEX(BaseV,AL94)*$G94+INDEX(BaseN,AL94))</f>
        <v/>
      </c>
      <c r="I94" s="39" t="str">
        <f>IF($C94="","",$H94*(1+BuildInflation)^($B94-1))</f>
        <v/>
      </c>
      <c r="J94" s="40" t="str">
        <f>IF($C94="","",IF(AN94="",IF(INDEX(Cand,AL94)=0,"No street of this size","Typical "&amp;LOWER(INDEX(TierNames,AL94))&amp;" street"),INDEX(Melbourne!$B$58:$B$135,AN94)))</f>
        <v/>
      </c>
      <c r="K94" s="40" t="str">
        <f>IF(OR($C94="",AN94=""),"",INDEX(Melbourne!$C$58:$C$135,AN94))</f>
        <v/>
      </c>
      <c r="L94" s="46" t="str">
        <f>IF($C94="","",IF(AN94="",INDEX(TypicalF,AL94),INDEX(Melbourne!$E$58:$E$135,AN94)))</f>
        <v/>
      </c>
      <c r="M94" s="86" t="str">
        <f>IF($C94="","",IF(AN94="",INDEX(TypicalQ,AL94),INDEX(Melbourne!$N$58:$N$135,AN94)))</f>
        <v/>
      </c>
      <c r="N94" s="39" t="str">
        <f>IF($C94="","",MIN($L94*Capture*$M94*Conversion*Ticket,INDEX(CapacityPsf,AL94)*INDEX(Area,AL94)))</f>
        <v/>
      </c>
      <c r="O94" s="39" t="str">
        <f>IF($C94="","",INDEX(Area,AL94)*RentPsf*($L94/Fref)^RentElasticity)</f>
        <v/>
      </c>
      <c r="P94" s="39" t="str">
        <f>IF($C94="","",$O94+INDEX(RunOther,AL94))</f>
        <v/>
      </c>
      <c r="Q94" s="95" t="str">
        <f>IF($C94="","",$N94*ContribMargin-$P94-INDEX(LicPlan,AL94))</f>
        <v/>
      </c>
      <c r="R94" s="113" t="str">
        <f>IF($C94="","",IF(AND(AO94&gt;=$H94,AO94&gt;0),$H94/AO94,IF(AND(AO94+AP94&gt;=$H94,AP94&gt;0),1+($H94-AO94)/AP94,IF($Q94&gt;0,2+($H94-AO94-AP94)/$Q94,"Never"))))</f>
        <v/>
      </c>
      <c r="S94" s="39" t="str">
        <f>IF($C94="","",StockWeeks/52*$N94*(1-GrossMargin))</f>
        <v/>
      </c>
      <c r="U94" s="95">
        <f>IF(OR($C94="",U$21&lt;$B94),0,IF(U$21=$B94,OpenYearShare,1)*($N94*ContribMargin*IF(U$21=$B94,Ramp1,IF(U$21=$B94+1,Ramp2,1))-$P94-INDEX(LicByYear,AL94,U$21)))</f>
        <v>0</v>
      </c>
      <c r="V94" s="95">
        <f>IF(OR($C94="",V$21&lt;$B94),0,IF(V$21=$B94,OpenYearShare,1)*($N94*ContribMargin*IF(V$21=$B94,Ramp1,IF(V$21=$B94+1,Ramp2,1))-$P94-INDEX(LicByYear,AL94,V$21)))</f>
        <v>0</v>
      </c>
      <c r="W94" s="95">
        <f>IF(OR($C94="",W$21&lt;$B94),0,IF(W$21=$B94,OpenYearShare,1)*($N94*ContribMargin*IF(W$21=$B94,Ramp1,IF(W$21=$B94+1,Ramp2,1))-$P94-INDEX(LicByYear,AL94,W$21)))</f>
        <v>0</v>
      </c>
      <c r="X94" s="95">
        <f>IF(OR($C94="",X$21&lt;$B94),0,IF(X$21=$B94,OpenYearShare,1)*($N94*ContribMargin*IF(X$21=$B94,Ramp1,IF(X$21=$B94+1,Ramp2,1))-$P94-INDEX(LicByYear,AL94,X$21)))</f>
        <v>0</v>
      </c>
      <c r="Y94" s="95">
        <f>IF(OR($C94="",Y$21&lt;$B94),0,IF(Y$21=$B94,OpenYearShare,1)*($N94*ContribMargin*IF(Y$21=$B94,Ramp1,IF(Y$21=$B94+1,Ramp2,1))-$P94-INDEX(LicByYear,AL94,Y$21)))</f>
        <v>0</v>
      </c>
      <c r="Z94" s="95">
        <f>IF(OR($C94="",Z$21&lt;$B94),0,IF(Z$21=$B94,OpenYearShare,1)*($N94*ContribMargin*IF(Z$21=$B94,Ramp1,IF(Z$21=$B94+1,Ramp2,1))-$P94-INDEX(LicByYear,AL94,Z$21)))</f>
        <v>0</v>
      </c>
      <c r="AA94" s="95">
        <f>IF(OR($C94="",AA$21&lt;$B94),0,IF(AA$21=$B94,OpenYearShare,1)*($N94*ContribMargin*IF(AA$21=$B94,Ramp1,IF(AA$21=$B94+1,Ramp2,1))-$P94-INDEX(LicByYear,AL94,AA$21)))</f>
        <v>0</v>
      </c>
      <c r="AB94" s="95">
        <f>IF(OR($C94="",AB$21&lt;$B94),0,IF(AB$21=$B94,OpenYearShare,1)*($N94*ContribMargin*IF(AB$21=$B94,Ramp1,IF(AB$21=$B94+1,Ramp2,1))-$P94-INDEX(LicByYear,AL94,AB$21)))</f>
        <v>0</v>
      </c>
      <c r="AC94" s="95">
        <f>IF(OR($C94="",AC$21&lt;$B94),0,IF(AC$21=$B94,OpenYearShare,1)*($N94*ContribMargin*IF(AC$21=$B94,Ramp1,IF(AC$21=$B94+1,Ramp2,1))-$P94-INDEX(LicByYear,AL94,AC$21)))</f>
        <v>0</v>
      </c>
      <c r="AD94" s="95">
        <f>IF(OR($C94="",AD$21&lt;$B94),0,IF(AD$21=$B94,OpenYearShare,1)*($N94*ContribMargin*IF(AD$21=$B94,Ramp1,IF(AD$21=$B94+1,Ramp2,1))-$P94-INDEX(LicByYear,AL94,AD$21)))</f>
        <v>0</v>
      </c>
      <c r="AF94" s="82">
        <f>AF93+IF($C94="SPLUS",1,0)</f>
        <v>7</v>
      </c>
      <c r="AG94" s="82">
        <f>AG93+IF($C94="S",1,0)</f>
        <v>15</v>
      </c>
      <c r="AH94" s="82">
        <f>AH93+IF($C94="D",1,0)</f>
        <v>8</v>
      </c>
      <c r="AI94" s="105">
        <f>IF(OR($A94&gt;PlanStores,AF93&gt;=INDEX(Target,1)),-1000000000,INDEX(Target,1)*$A94-AF93*PlanStores)</f>
        <v>-1000000000</v>
      </c>
      <c r="AJ94" s="105">
        <f>IF(OR($A94&gt;PlanStores,AG93&gt;=INDEX(Target,2)),-1000000000,INDEX(Target,2)*$A94-AG93*PlanStores)</f>
        <v>-1000000000</v>
      </c>
      <c r="AK94" s="105">
        <f>IF(OR($A94&gt;PlanStores,AH93&gt;=INDEX(Target,3)),-1000000000,INDEX(Target,3)*$A94-AH93*PlanStores)</f>
        <v>-1000000000</v>
      </c>
      <c r="AL94" s="82" t="str">
        <f>IF($C94="","",MATCH($C94,TierCodes,0))</f>
        <v/>
      </c>
      <c r="AM94" s="82" t="str">
        <f>IF($C94="","",IF(OR(StreetChoice="Typical street for its size",INDEX(Cand,AL94)=0),"",MOD($D94-1,INDEX(Cand,AL94))+1))</f>
        <v/>
      </c>
      <c r="AN94" s="82" t="str">
        <f>IF(AM94="","",MATCH($C94&amp;"|"&amp;AM94,Melbourne!$AA$58:$AA$135,0))</f>
        <v/>
      </c>
      <c r="AO94" s="76" t="str">
        <f>IF($C94="","",Ramp1*$N94*ContribMargin-$P94-INDEX(LicPlan,AL94))</f>
        <v/>
      </c>
      <c r="AP94" s="76" t="str">
        <f>IF($C94="","",Ramp2*$N94*ContribMargin-$P94-INDEX(LicPlan,AL94))</f>
        <v/>
      </c>
      <c r="AR94" s="61" t="str">
        <f>IF($C94="","",MAX(Scale!$C$7,($D94+Scale!$C$8*($A94-$D94))^LOG(Scale!$C$6,2)))</f>
        <v/>
      </c>
      <c r="AS94" s="61" t="str">
        <f>IF($C94="","",1-IF(IF(Deal="Commit to the full plan",PlanStores,$A94)&gt;=PBAt4,Scale!$C$12,IF(IF(Deal="Commit to the full plan",PlanStores,$A94)&gt;=PBAt3,Scale!$C$11,IF(IF(Deal="Commit to the full plan",PlanStores,$A94)&gt;=PBAt2,Scale!$C$10,IF(IF(Deal="Commit to the full plan",PlanStores,$A94)&gt;=PBAt1,Scale!$C$9,0)))))</f>
        <v/>
      </c>
      <c r="AT94" s="61" t="str">
        <f>IF($C94="","",MAX(Scale!$D$7,($D94+Scale!$D$8*($A94-$D94))^LOG(Scale!$D$6,2)))</f>
        <v/>
      </c>
      <c r="AU94" s="61" t="str">
        <f>IF($C94="","",1-IF(IF(Deal="Commit to the full plan",PlanStores,$A94)&gt;=PBAt4,Scale!$D$12,IF(IF(Deal="Commit to the full plan",PlanStores,$A94)&gt;=PBAt3,Scale!$D$11,IF(IF(Deal="Commit to the full plan",PlanStores,$A94)&gt;=PBAt2,Scale!$D$10,IF(IF(Deal="Commit to the full plan",PlanStores,$A94)&gt;=PBAt1,Scale!$D$9,0)))))</f>
        <v/>
      </c>
      <c r="AV94" s="61" t="str">
        <f>IF($C94="","",MAX(Scale!$E$7,($D94+Scale!$E$8*($A94-$D94))^LOG(Scale!$E$6,2)))</f>
        <v/>
      </c>
      <c r="AW94" s="61" t="str">
        <f>IF($C94="","",1-IF(IF(Deal="Commit to the full plan",PlanStores,$A94)&gt;=PBAt4,Scale!$E$12,IF(IF(Deal="Commit to the full plan",PlanStores,$A94)&gt;=PBAt3,Scale!$E$11,IF(IF(Deal="Commit to the full plan",PlanStores,$A94)&gt;=PBAt2,Scale!$E$10,IF(IF(Deal="Commit to the full plan",PlanStores,$A94)&gt;=PBAt1,Scale!$E$9,0)))))</f>
        <v/>
      </c>
    </row>
    <row r="95">
      <c r="A95" s="110" t="n">
        <v>74</v>
      </c>
      <c r="B95" s="111" t="str">
        <f>IF($A95&gt;PlanStores,"",1+COUNTIF(CumOpenings,"&lt;"&amp;$A95))</f>
        <v/>
      </c>
      <c r="C95" s="14" t="str">
        <f>IF($A95&gt;PlanStores,"",IF(AND($A95=1,FlagshipFirst="Yes",INDEX(Target,1)&gt;0),"SPLUS",IF(AND(AI95&gt;=AJ95,AI95&gt;=AK95),"SPLUS",IF(AJ95&gt;=AK95,"S","D"))))</f>
        <v/>
      </c>
      <c r="D95" s="111" t="str">
        <f>IF($C95="","",IF($C95="SPLUS",AF95,IF($C95="S",AG95,AH95)))</f>
        <v/>
      </c>
      <c r="E95" s="112" t="str">
        <f>IF($C95="","",$D95+LearnShared*($A95-$D95))</f>
        <v/>
      </c>
      <c r="F95" s="85" t="str">
        <f>IF($C95="","",MAX(LearnFloor,$E95^LOG(LearnRate,2)))</f>
        <v/>
      </c>
      <c r="G95" s="85" t="str">
        <f>IF($C95="","",1-IF(IF(Deal="Commit to the full plan",PlanStores,$A95)&gt;=PBAt4,PBDisc4,IF(IF(Deal="Commit to the full plan",PlanStores,$A95)&gt;=PBAt3,PBDisc3,IF(IF(Deal="Commit to the full plan",PlanStores,$A95)&gt;=PBAt2,PBDisc2,IF(IF(Deal="Commit to the full plan",PlanStores,$A95)&gt;=PBAt1,PBDisc1,0)))))</f>
        <v/>
      </c>
      <c r="H95" s="39" t="str">
        <f>IF($C95="","",INDEX(BaseL,AL95)*$F95+INDEX(BaseV,AL95)*$G95+INDEX(BaseN,AL95))</f>
        <v/>
      </c>
      <c r="I95" s="39" t="str">
        <f>IF($C95="","",$H95*(1+BuildInflation)^($B95-1))</f>
        <v/>
      </c>
      <c r="J95" s="40" t="str">
        <f>IF($C95="","",IF(AN95="",IF(INDEX(Cand,AL95)=0,"No street of this size","Typical "&amp;LOWER(INDEX(TierNames,AL95))&amp;" street"),INDEX(Melbourne!$B$58:$B$135,AN95)))</f>
        <v/>
      </c>
      <c r="K95" s="40" t="str">
        <f>IF(OR($C95="",AN95=""),"",INDEX(Melbourne!$C$58:$C$135,AN95))</f>
        <v/>
      </c>
      <c r="L95" s="46" t="str">
        <f>IF($C95="","",IF(AN95="",INDEX(TypicalF,AL95),INDEX(Melbourne!$E$58:$E$135,AN95)))</f>
        <v/>
      </c>
      <c r="M95" s="86" t="str">
        <f>IF($C95="","",IF(AN95="",INDEX(TypicalQ,AL95),INDEX(Melbourne!$N$58:$N$135,AN95)))</f>
        <v/>
      </c>
      <c r="N95" s="39" t="str">
        <f>IF($C95="","",MIN($L95*Capture*$M95*Conversion*Ticket,INDEX(CapacityPsf,AL95)*INDEX(Area,AL95)))</f>
        <v/>
      </c>
      <c r="O95" s="39" t="str">
        <f>IF($C95="","",INDEX(Area,AL95)*RentPsf*($L95/Fref)^RentElasticity)</f>
        <v/>
      </c>
      <c r="P95" s="39" t="str">
        <f>IF($C95="","",$O95+INDEX(RunOther,AL95))</f>
        <v/>
      </c>
      <c r="Q95" s="95" t="str">
        <f>IF($C95="","",$N95*ContribMargin-$P95-INDEX(LicPlan,AL95))</f>
        <v/>
      </c>
      <c r="R95" s="113" t="str">
        <f>IF($C95="","",IF(AND(AO95&gt;=$H95,AO95&gt;0),$H95/AO95,IF(AND(AO95+AP95&gt;=$H95,AP95&gt;0),1+($H95-AO95)/AP95,IF($Q95&gt;0,2+($H95-AO95-AP95)/$Q95,"Never"))))</f>
        <v/>
      </c>
      <c r="S95" s="39" t="str">
        <f>IF($C95="","",StockWeeks/52*$N95*(1-GrossMargin))</f>
        <v/>
      </c>
      <c r="U95" s="95">
        <f>IF(OR($C95="",U$21&lt;$B95),0,IF(U$21=$B95,OpenYearShare,1)*($N95*ContribMargin*IF(U$21=$B95,Ramp1,IF(U$21=$B95+1,Ramp2,1))-$P95-INDEX(LicByYear,AL95,U$21)))</f>
        <v>0</v>
      </c>
      <c r="V95" s="95">
        <f>IF(OR($C95="",V$21&lt;$B95),0,IF(V$21=$B95,OpenYearShare,1)*($N95*ContribMargin*IF(V$21=$B95,Ramp1,IF(V$21=$B95+1,Ramp2,1))-$P95-INDEX(LicByYear,AL95,V$21)))</f>
        <v>0</v>
      </c>
      <c r="W95" s="95">
        <f>IF(OR($C95="",W$21&lt;$B95),0,IF(W$21=$B95,OpenYearShare,1)*($N95*ContribMargin*IF(W$21=$B95,Ramp1,IF(W$21=$B95+1,Ramp2,1))-$P95-INDEX(LicByYear,AL95,W$21)))</f>
        <v>0</v>
      </c>
      <c r="X95" s="95">
        <f>IF(OR($C95="",X$21&lt;$B95),0,IF(X$21=$B95,OpenYearShare,1)*($N95*ContribMargin*IF(X$21=$B95,Ramp1,IF(X$21=$B95+1,Ramp2,1))-$P95-INDEX(LicByYear,AL95,X$21)))</f>
        <v>0</v>
      </c>
      <c r="Y95" s="95">
        <f>IF(OR($C95="",Y$21&lt;$B95),0,IF(Y$21=$B95,OpenYearShare,1)*($N95*ContribMargin*IF(Y$21=$B95,Ramp1,IF(Y$21=$B95+1,Ramp2,1))-$P95-INDEX(LicByYear,AL95,Y$21)))</f>
        <v>0</v>
      </c>
      <c r="Z95" s="95">
        <f>IF(OR($C95="",Z$21&lt;$B95),0,IF(Z$21=$B95,OpenYearShare,1)*($N95*ContribMargin*IF(Z$21=$B95,Ramp1,IF(Z$21=$B95+1,Ramp2,1))-$P95-INDEX(LicByYear,AL95,Z$21)))</f>
        <v>0</v>
      </c>
      <c r="AA95" s="95">
        <f>IF(OR($C95="",AA$21&lt;$B95),0,IF(AA$21=$B95,OpenYearShare,1)*($N95*ContribMargin*IF(AA$21=$B95,Ramp1,IF(AA$21=$B95+1,Ramp2,1))-$P95-INDEX(LicByYear,AL95,AA$21)))</f>
        <v>0</v>
      </c>
      <c r="AB95" s="95">
        <f>IF(OR($C95="",AB$21&lt;$B95),0,IF(AB$21=$B95,OpenYearShare,1)*($N95*ContribMargin*IF(AB$21=$B95,Ramp1,IF(AB$21=$B95+1,Ramp2,1))-$P95-INDEX(LicByYear,AL95,AB$21)))</f>
        <v>0</v>
      </c>
      <c r="AC95" s="95">
        <f>IF(OR($C95="",AC$21&lt;$B95),0,IF(AC$21=$B95,OpenYearShare,1)*($N95*ContribMargin*IF(AC$21=$B95,Ramp1,IF(AC$21=$B95+1,Ramp2,1))-$P95-INDEX(LicByYear,AL95,AC$21)))</f>
        <v>0</v>
      </c>
      <c r="AD95" s="95">
        <f>IF(OR($C95="",AD$21&lt;$B95),0,IF(AD$21=$B95,OpenYearShare,1)*($N95*ContribMargin*IF(AD$21=$B95,Ramp1,IF(AD$21=$B95+1,Ramp2,1))-$P95-INDEX(LicByYear,AL95,AD$21)))</f>
        <v>0</v>
      </c>
      <c r="AF95" s="82">
        <f>AF94+IF($C95="SPLUS",1,0)</f>
        <v>7</v>
      </c>
      <c r="AG95" s="82">
        <f>AG94+IF($C95="S",1,0)</f>
        <v>15</v>
      </c>
      <c r="AH95" s="82">
        <f>AH94+IF($C95="D",1,0)</f>
        <v>8</v>
      </c>
      <c r="AI95" s="105">
        <f>IF(OR($A95&gt;PlanStores,AF94&gt;=INDEX(Target,1)),-1000000000,INDEX(Target,1)*$A95-AF94*PlanStores)</f>
        <v>-1000000000</v>
      </c>
      <c r="AJ95" s="105">
        <f>IF(OR($A95&gt;PlanStores,AG94&gt;=INDEX(Target,2)),-1000000000,INDEX(Target,2)*$A95-AG94*PlanStores)</f>
        <v>-1000000000</v>
      </c>
      <c r="AK95" s="105">
        <f>IF(OR($A95&gt;PlanStores,AH94&gt;=INDEX(Target,3)),-1000000000,INDEX(Target,3)*$A95-AH94*PlanStores)</f>
        <v>-1000000000</v>
      </c>
      <c r="AL95" s="82" t="str">
        <f>IF($C95="","",MATCH($C95,TierCodes,0))</f>
        <v/>
      </c>
      <c r="AM95" s="82" t="str">
        <f>IF($C95="","",IF(OR(StreetChoice="Typical street for its size",INDEX(Cand,AL95)=0),"",MOD($D95-1,INDEX(Cand,AL95))+1))</f>
        <v/>
      </c>
      <c r="AN95" s="82" t="str">
        <f>IF(AM95="","",MATCH($C95&amp;"|"&amp;AM95,Melbourne!$AA$58:$AA$135,0))</f>
        <v/>
      </c>
      <c r="AO95" s="76" t="str">
        <f>IF($C95="","",Ramp1*$N95*ContribMargin-$P95-INDEX(LicPlan,AL95))</f>
        <v/>
      </c>
      <c r="AP95" s="76" t="str">
        <f>IF($C95="","",Ramp2*$N95*ContribMargin-$P95-INDEX(LicPlan,AL95))</f>
        <v/>
      </c>
      <c r="AR95" s="61" t="str">
        <f>IF($C95="","",MAX(Scale!$C$7,($D95+Scale!$C$8*($A95-$D95))^LOG(Scale!$C$6,2)))</f>
        <v/>
      </c>
      <c r="AS95" s="61" t="str">
        <f>IF($C95="","",1-IF(IF(Deal="Commit to the full plan",PlanStores,$A95)&gt;=PBAt4,Scale!$C$12,IF(IF(Deal="Commit to the full plan",PlanStores,$A95)&gt;=PBAt3,Scale!$C$11,IF(IF(Deal="Commit to the full plan",PlanStores,$A95)&gt;=PBAt2,Scale!$C$10,IF(IF(Deal="Commit to the full plan",PlanStores,$A95)&gt;=PBAt1,Scale!$C$9,0)))))</f>
        <v/>
      </c>
      <c r="AT95" s="61" t="str">
        <f>IF($C95="","",MAX(Scale!$D$7,($D95+Scale!$D$8*($A95-$D95))^LOG(Scale!$D$6,2)))</f>
        <v/>
      </c>
      <c r="AU95" s="61" t="str">
        <f>IF($C95="","",1-IF(IF(Deal="Commit to the full plan",PlanStores,$A95)&gt;=PBAt4,Scale!$D$12,IF(IF(Deal="Commit to the full plan",PlanStores,$A95)&gt;=PBAt3,Scale!$D$11,IF(IF(Deal="Commit to the full plan",PlanStores,$A95)&gt;=PBAt2,Scale!$D$10,IF(IF(Deal="Commit to the full plan",PlanStores,$A95)&gt;=PBAt1,Scale!$D$9,0)))))</f>
        <v/>
      </c>
      <c r="AV95" s="61" t="str">
        <f>IF($C95="","",MAX(Scale!$E$7,($D95+Scale!$E$8*($A95-$D95))^LOG(Scale!$E$6,2)))</f>
        <v/>
      </c>
      <c r="AW95" s="61" t="str">
        <f>IF($C95="","",1-IF(IF(Deal="Commit to the full plan",PlanStores,$A95)&gt;=PBAt4,Scale!$E$12,IF(IF(Deal="Commit to the full plan",PlanStores,$A95)&gt;=PBAt3,Scale!$E$11,IF(IF(Deal="Commit to the full plan",PlanStores,$A95)&gt;=PBAt2,Scale!$E$10,IF(IF(Deal="Commit to the full plan",PlanStores,$A95)&gt;=PBAt1,Scale!$E$9,0)))))</f>
        <v/>
      </c>
    </row>
    <row r="96">
      <c r="A96" s="110" t="n">
        <v>75</v>
      </c>
      <c r="B96" s="111" t="str">
        <f>IF($A96&gt;PlanStores,"",1+COUNTIF(CumOpenings,"&lt;"&amp;$A96))</f>
        <v/>
      </c>
      <c r="C96" s="14" t="str">
        <f>IF($A96&gt;PlanStores,"",IF(AND($A96=1,FlagshipFirst="Yes",INDEX(Target,1)&gt;0),"SPLUS",IF(AND(AI96&gt;=AJ96,AI96&gt;=AK96),"SPLUS",IF(AJ96&gt;=AK96,"S","D"))))</f>
        <v/>
      </c>
      <c r="D96" s="111" t="str">
        <f>IF($C96="","",IF($C96="SPLUS",AF96,IF($C96="S",AG96,AH96)))</f>
        <v/>
      </c>
      <c r="E96" s="112" t="str">
        <f>IF($C96="","",$D96+LearnShared*($A96-$D96))</f>
        <v/>
      </c>
      <c r="F96" s="85" t="str">
        <f>IF($C96="","",MAX(LearnFloor,$E96^LOG(LearnRate,2)))</f>
        <v/>
      </c>
      <c r="G96" s="85" t="str">
        <f>IF($C96="","",1-IF(IF(Deal="Commit to the full plan",PlanStores,$A96)&gt;=PBAt4,PBDisc4,IF(IF(Deal="Commit to the full plan",PlanStores,$A96)&gt;=PBAt3,PBDisc3,IF(IF(Deal="Commit to the full plan",PlanStores,$A96)&gt;=PBAt2,PBDisc2,IF(IF(Deal="Commit to the full plan",PlanStores,$A96)&gt;=PBAt1,PBDisc1,0)))))</f>
        <v/>
      </c>
      <c r="H96" s="39" t="str">
        <f>IF($C96="","",INDEX(BaseL,AL96)*$F96+INDEX(BaseV,AL96)*$G96+INDEX(BaseN,AL96))</f>
        <v/>
      </c>
      <c r="I96" s="39" t="str">
        <f>IF($C96="","",$H96*(1+BuildInflation)^($B96-1))</f>
        <v/>
      </c>
      <c r="J96" s="40" t="str">
        <f>IF($C96="","",IF(AN96="",IF(INDEX(Cand,AL96)=0,"No street of this size","Typical "&amp;LOWER(INDEX(TierNames,AL96))&amp;" street"),INDEX(Melbourne!$B$58:$B$135,AN96)))</f>
        <v/>
      </c>
      <c r="K96" s="40" t="str">
        <f>IF(OR($C96="",AN96=""),"",INDEX(Melbourne!$C$58:$C$135,AN96))</f>
        <v/>
      </c>
      <c r="L96" s="46" t="str">
        <f>IF($C96="","",IF(AN96="",INDEX(TypicalF,AL96),INDEX(Melbourne!$E$58:$E$135,AN96)))</f>
        <v/>
      </c>
      <c r="M96" s="86" t="str">
        <f>IF($C96="","",IF(AN96="",INDEX(TypicalQ,AL96),INDEX(Melbourne!$N$58:$N$135,AN96)))</f>
        <v/>
      </c>
      <c r="N96" s="39" t="str">
        <f>IF($C96="","",MIN($L96*Capture*$M96*Conversion*Ticket,INDEX(CapacityPsf,AL96)*INDEX(Area,AL96)))</f>
        <v/>
      </c>
      <c r="O96" s="39" t="str">
        <f>IF($C96="","",INDEX(Area,AL96)*RentPsf*($L96/Fref)^RentElasticity)</f>
        <v/>
      </c>
      <c r="P96" s="39" t="str">
        <f>IF($C96="","",$O96+INDEX(RunOther,AL96))</f>
        <v/>
      </c>
      <c r="Q96" s="95" t="str">
        <f>IF($C96="","",$N96*ContribMargin-$P96-INDEX(LicPlan,AL96))</f>
        <v/>
      </c>
      <c r="R96" s="113" t="str">
        <f>IF($C96="","",IF(AND(AO96&gt;=$H96,AO96&gt;0),$H96/AO96,IF(AND(AO96+AP96&gt;=$H96,AP96&gt;0),1+($H96-AO96)/AP96,IF($Q96&gt;0,2+($H96-AO96-AP96)/$Q96,"Never"))))</f>
        <v/>
      </c>
      <c r="S96" s="39" t="str">
        <f>IF($C96="","",StockWeeks/52*$N96*(1-GrossMargin))</f>
        <v/>
      </c>
      <c r="U96" s="95">
        <f>IF(OR($C96="",U$21&lt;$B96),0,IF(U$21=$B96,OpenYearShare,1)*($N96*ContribMargin*IF(U$21=$B96,Ramp1,IF(U$21=$B96+1,Ramp2,1))-$P96-INDEX(LicByYear,AL96,U$21)))</f>
        <v>0</v>
      </c>
      <c r="V96" s="95">
        <f>IF(OR($C96="",V$21&lt;$B96),0,IF(V$21=$B96,OpenYearShare,1)*($N96*ContribMargin*IF(V$21=$B96,Ramp1,IF(V$21=$B96+1,Ramp2,1))-$P96-INDEX(LicByYear,AL96,V$21)))</f>
        <v>0</v>
      </c>
      <c r="W96" s="95">
        <f>IF(OR($C96="",W$21&lt;$B96),0,IF(W$21=$B96,OpenYearShare,1)*($N96*ContribMargin*IF(W$21=$B96,Ramp1,IF(W$21=$B96+1,Ramp2,1))-$P96-INDEX(LicByYear,AL96,W$21)))</f>
        <v>0</v>
      </c>
      <c r="X96" s="95">
        <f>IF(OR($C96="",X$21&lt;$B96),0,IF(X$21=$B96,OpenYearShare,1)*($N96*ContribMargin*IF(X$21=$B96,Ramp1,IF(X$21=$B96+1,Ramp2,1))-$P96-INDEX(LicByYear,AL96,X$21)))</f>
        <v>0</v>
      </c>
      <c r="Y96" s="95">
        <f>IF(OR($C96="",Y$21&lt;$B96),0,IF(Y$21=$B96,OpenYearShare,1)*($N96*ContribMargin*IF(Y$21=$B96,Ramp1,IF(Y$21=$B96+1,Ramp2,1))-$P96-INDEX(LicByYear,AL96,Y$21)))</f>
        <v>0</v>
      </c>
      <c r="Z96" s="95">
        <f>IF(OR($C96="",Z$21&lt;$B96),0,IF(Z$21=$B96,OpenYearShare,1)*($N96*ContribMargin*IF(Z$21=$B96,Ramp1,IF(Z$21=$B96+1,Ramp2,1))-$P96-INDEX(LicByYear,AL96,Z$21)))</f>
        <v>0</v>
      </c>
      <c r="AA96" s="95">
        <f>IF(OR($C96="",AA$21&lt;$B96),0,IF(AA$21=$B96,OpenYearShare,1)*($N96*ContribMargin*IF(AA$21=$B96,Ramp1,IF(AA$21=$B96+1,Ramp2,1))-$P96-INDEX(LicByYear,AL96,AA$21)))</f>
        <v>0</v>
      </c>
      <c r="AB96" s="95">
        <f>IF(OR($C96="",AB$21&lt;$B96),0,IF(AB$21=$B96,OpenYearShare,1)*($N96*ContribMargin*IF(AB$21=$B96,Ramp1,IF(AB$21=$B96+1,Ramp2,1))-$P96-INDEX(LicByYear,AL96,AB$21)))</f>
        <v>0</v>
      </c>
      <c r="AC96" s="95">
        <f>IF(OR($C96="",AC$21&lt;$B96),0,IF(AC$21=$B96,OpenYearShare,1)*($N96*ContribMargin*IF(AC$21=$B96,Ramp1,IF(AC$21=$B96+1,Ramp2,1))-$P96-INDEX(LicByYear,AL96,AC$21)))</f>
        <v>0</v>
      </c>
      <c r="AD96" s="95">
        <f>IF(OR($C96="",AD$21&lt;$B96),0,IF(AD$21=$B96,OpenYearShare,1)*($N96*ContribMargin*IF(AD$21=$B96,Ramp1,IF(AD$21=$B96+1,Ramp2,1))-$P96-INDEX(LicByYear,AL96,AD$21)))</f>
        <v>0</v>
      </c>
      <c r="AF96" s="82">
        <f>AF95+IF($C96="SPLUS",1,0)</f>
        <v>7</v>
      </c>
      <c r="AG96" s="82">
        <f>AG95+IF($C96="S",1,0)</f>
        <v>15</v>
      </c>
      <c r="AH96" s="82">
        <f>AH95+IF($C96="D",1,0)</f>
        <v>8</v>
      </c>
      <c r="AI96" s="105">
        <f>IF(OR($A96&gt;PlanStores,AF95&gt;=INDEX(Target,1)),-1000000000,INDEX(Target,1)*$A96-AF95*PlanStores)</f>
        <v>-1000000000</v>
      </c>
      <c r="AJ96" s="105">
        <f>IF(OR($A96&gt;PlanStores,AG95&gt;=INDEX(Target,2)),-1000000000,INDEX(Target,2)*$A96-AG95*PlanStores)</f>
        <v>-1000000000</v>
      </c>
      <c r="AK96" s="105">
        <f>IF(OR($A96&gt;PlanStores,AH95&gt;=INDEX(Target,3)),-1000000000,INDEX(Target,3)*$A96-AH95*PlanStores)</f>
        <v>-1000000000</v>
      </c>
      <c r="AL96" s="82" t="str">
        <f>IF($C96="","",MATCH($C96,TierCodes,0))</f>
        <v/>
      </c>
      <c r="AM96" s="82" t="str">
        <f>IF($C96="","",IF(OR(StreetChoice="Typical street for its size",INDEX(Cand,AL96)=0),"",MOD($D96-1,INDEX(Cand,AL96))+1))</f>
        <v/>
      </c>
      <c r="AN96" s="82" t="str">
        <f>IF(AM96="","",MATCH($C96&amp;"|"&amp;AM96,Melbourne!$AA$58:$AA$135,0))</f>
        <v/>
      </c>
      <c r="AO96" s="76" t="str">
        <f>IF($C96="","",Ramp1*$N96*ContribMargin-$P96-INDEX(LicPlan,AL96))</f>
        <v/>
      </c>
      <c r="AP96" s="76" t="str">
        <f>IF($C96="","",Ramp2*$N96*ContribMargin-$P96-INDEX(LicPlan,AL96))</f>
        <v/>
      </c>
      <c r="AR96" s="61" t="str">
        <f>IF($C96="","",MAX(Scale!$C$7,($D96+Scale!$C$8*($A96-$D96))^LOG(Scale!$C$6,2)))</f>
        <v/>
      </c>
      <c r="AS96" s="61" t="str">
        <f>IF($C96="","",1-IF(IF(Deal="Commit to the full plan",PlanStores,$A96)&gt;=PBAt4,Scale!$C$12,IF(IF(Deal="Commit to the full plan",PlanStores,$A96)&gt;=PBAt3,Scale!$C$11,IF(IF(Deal="Commit to the full plan",PlanStores,$A96)&gt;=PBAt2,Scale!$C$10,IF(IF(Deal="Commit to the full plan",PlanStores,$A96)&gt;=PBAt1,Scale!$C$9,0)))))</f>
        <v/>
      </c>
      <c r="AT96" s="61" t="str">
        <f>IF($C96="","",MAX(Scale!$D$7,($D96+Scale!$D$8*($A96-$D96))^LOG(Scale!$D$6,2)))</f>
        <v/>
      </c>
      <c r="AU96" s="61" t="str">
        <f>IF($C96="","",1-IF(IF(Deal="Commit to the full plan",PlanStores,$A96)&gt;=PBAt4,Scale!$D$12,IF(IF(Deal="Commit to the full plan",PlanStores,$A96)&gt;=PBAt3,Scale!$D$11,IF(IF(Deal="Commit to the full plan",PlanStores,$A96)&gt;=PBAt2,Scale!$D$10,IF(IF(Deal="Commit to the full plan",PlanStores,$A96)&gt;=PBAt1,Scale!$D$9,0)))))</f>
        <v/>
      </c>
      <c r="AV96" s="61" t="str">
        <f>IF($C96="","",MAX(Scale!$E$7,($D96+Scale!$E$8*($A96-$D96))^LOG(Scale!$E$6,2)))</f>
        <v/>
      </c>
      <c r="AW96" s="61" t="str">
        <f>IF($C96="","",1-IF(IF(Deal="Commit to the full plan",PlanStores,$A96)&gt;=PBAt4,Scale!$E$12,IF(IF(Deal="Commit to the full plan",PlanStores,$A96)&gt;=PBAt3,Scale!$E$11,IF(IF(Deal="Commit to the full plan",PlanStores,$A96)&gt;=PBAt2,Scale!$E$10,IF(IF(Deal="Commit to the full plan",PlanStores,$A96)&gt;=PBAt1,Scale!$E$9,0)))))</f>
        <v/>
      </c>
    </row>
    <row r="97">
      <c r="A97" s="110" t="n">
        <v>76</v>
      </c>
      <c r="B97" s="111" t="str">
        <f>IF($A97&gt;PlanStores,"",1+COUNTIF(CumOpenings,"&lt;"&amp;$A97))</f>
        <v/>
      </c>
      <c r="C97" s="14" t="str">
        <f>IF($A97&gt;PlanStores,"",IF(AND($A97=1,FlagshipFirst="Yes",INDEX(Target,1)&gt;0),"SPLUS",IF(AND(AI97&gt;=AJ97,AI97&gt;=AK97),"SPLUS",IF(AJ97&gt;=AK97,"S","D"))))</f>
        <v/>
      </c>
      <c r="D97" s="111" t="str">
        <f>IF($C97="","",IF($C97="SPLUS",AF97,IF($C97="S",AG97,AH97)))</f>
        <v/>
      </c>
      <c r="E97" s="112" t="str">
        <f>IF($C97="","",$D97+LearnShared*($A97-$D97))</f>
        <v/>
      </c>
      <c r="F97" s="85" t="str">
        <f>IF($C97="","",MAX(LearnFloor,$E97^LOG(LearnRate,2)))</f>
        <v/>
      </c>
      <c r="G97" s="85" t="str">
        <f>IF($C97="","",1-IF(IF(Deal="Commit to the full plan",PlanStores,$A97)&gt;=PBAt4,PBDisc4,IF(IF(Deal="Commit to the full plan",PlanStores,$A97)&gt;=PBAt3,PBDisc3,IF(IF(Deal="Commit to the full plan",PlanStores,$A97)&gt;=PBAt2,PBDisc2,IF(IF(Deal="Commit to the full plan",PlanStores,$A97)&gt;=PBAt1,PBDisc1,0)))))</f>
        <v/>
      </c>
      <c r="H97" s="39" t="str">
        <f>IF($C97="","",INDEX(BaseL,AL97)*$F97+INDEX(BaseV,AL97)*$G97+INDEX(BaseN,AL97))</f>
        <v/>
      </c>
      <c r="I97" s="39" t="str">
        <f>IF($C97="","",$H97*(1+BuildInflation)^($B97-1))</f>
        <v/>
      </c>
      <c r="J97" s="40" t="str">
        <f>IF($C97="","",IF(AN97="",IF(INDEX(Cand,AL97)=0,"No street of this size","Typical "&amp;LOWER(INDEX(TierNames,AL97))&amp;" street"),INDEX(Melbourne!$B$58:$B$135,AN97)))</f>
        <v/>
      </c>
      <c r="K97" s="40" t="str">
        <f>IF(OR($C97="",AN97=""),"",INDEX(Melbourne!$C$58:$C$135,AN97))</f>
        <v/>
      </c>
      <c r="L97" s="46" t="str">
        <f>IF($C97="","",IF(AN97="",INDEX(TypicalF,AL97),INDEX(Melbourne!$E$58:$E$135,AN97)))</f>
        <v/>
      </c>
      <c r="M97" s="86" t="str">
        <f>IF($C97="","",IF(AN97="",INDEX(TypicalQ,AL97),INDEX(Melbourne!$N$58:$N$135,AN97)))</f>
        <v/>
      </c>
      <c r="N97" s="39" t="str">
        <f>IF($C97="","",MIN($L97*Capture*$M97*Conversion*Ticket,INDEX(CapacityPsf,AL97)*INDEX(Area,AL97)))</f>
        <v/>
      </c>
      <c r="O97" s="39" t="str">
        <f>IF($C97="","",INDEX(Area,AL97)*RentPsf*($L97/Fref)^RentElasticity)</f>
        <v/>
      </c>
      <c r="P97" s="39" t="str">
        <f>IF($C97="","",$O97+INDEX(RunOther,AL97))</f>
        <v/>
      </c>
      <c r="Q97" s="95" t="str">
        <f>IF($C97="","",$N97*ContribMargin-$P97-INDEX(LicPlan,AL97))</f>
        <v/>
      </c>
      <c r="R97" s="113" t="str">
        <f>IF($C97="","",IF(AND(AO97&gt;=$H97,AO97&gt;0),$H97/AO97,IF(AND(AO97+AP97&gt;=$H97,AP97&gt;0),1+($H97-AO97)/AP97,IF($Q97&gt;0,2+($H97-AO97-AP97)/$Q97,"Never"))))</f>
        <v/>
      </c>
      <c r="S97" s="39" t="str">
        <f>IF($C97="","",StockWeeks/52*$N97*(1-GrossMargin))</f>
        <v/>
      </c>
      <c r="U97" s="95">
        <f>IF(OR($C97="",U$21&lt;$B97),0,IF(U$21=$B97,OpenYearShare,1)*($N97*ContribMargin*IF(U$21=$B97,Ramp1,IF(U$21=$B97+1,Ramp2,1))-$P97-INDEX(LicByYear,AL97,U$21)))</f>
        <v>0</v>
      </c>
      <c r="V97" s="95">
        <f>IF(OR($C97="",V$21&lt;$B97),0,IF(V$21=$B97,OpenYearShare,1)*($N97*ContribMargin*IF(V$21=$B97,Ramp1,IF(V$21=$B97+1,Ramp2,1))-$P97-INDEX(LicByYear,AL97,V$21)))</f>
        <v>0</v>
      </c>
      <c r="W97" s="95">
        <f>IF(OR($C97="",W$21&lt;$B97),0,IF(W$21=$B97,OpenYearShare,1)*($N97*ContribMargin*IF(W$21=$B97,Ramp1,IF(W$21=$B97+1,Ramp2,1))-$P97-INDEX(LicByYear,AL97,W$21)))</f>
        <v>0</v>
      </c>
      <c r="X97" s="95">
        <f>IF(OR($C97="",X$21&lt;$B97),0,IF(X$21=$B97,OpenYearShare,1)*($N97*ContribMargin*IF(X$21=$B97,Ramp1,IF(X$21=$B97+1,Ramp2,1))-$P97-INDEX(LicByYear,AL97,X$21)))</f>
        <v>0</v>
      </c>
      <c r="Y97" s="95">
        <f>IF(OR($C97="",Y$21&lt;$B97),0,IF(Y$21=$B97,OpenYearShare,1)*($N97*ContribMargin*IF(Y$21=$B97,Ramp1,IF(Y$21=$B97+1,Ramp2,1))-$P97-INDEX(LicByYear,AL97,Y$21)))</f>
        <v>0</v>
      </c>
      <c r="Z97" s="95">
        <f>IF(OR($C97="",Z$21&lt;$B97),0,IF(Z$21=$B97,OpenYearShare,1)*($N97*ContribMargin*IF(Z$21=$B97,Ramp1,IF(Z$21=$B97+1,Ramp2,1))-$P97-INDEX(LicByYear,AL97,Z$21)))</f>
        <v>0</v>
      </c>
      <c r="AA97" s="95">
        <f>IF(OR($C97="",AA$21&lt;$B97),0,IF(AA$21=$B97,OpenYearShare,1)*($N97*ContribMargin*IF(AA$21=$B97,Ramp1,IF(AA$21=$B97+1,Ramp2,1))-$P97-INDEX(LicByYear,AL97,AA$21)))</f>
        <v>0</v>
      </c>
      <c r="AB97" s="95">
        <f>IF(OR($C97="",AB$21&lt;$B97),0,IF(AB$21=$B97,OpenYearShare,1)*($N97*ContribMargin*IF(AB$21=$B97,Ramp1,IF(AB$21=$B97+1,Ramp2,1))-$P97-INDEX(LicByYear,AL97,AB$21)))</f>
        <v>0</v>
      </c>
      <c r="AC97" s="95">
        <f>IF(OR($C97="",AC$21&lt;$B97),0,IF(AC$21=$B97,OpenYearShare,1)*($N97*ContribMargin*IF(AC$21=$B97,Ramp1,IF(AC$21=$B97+1,Ramp2,1))-$P97-INDEX(LicByYear,AL97,AC$21)))</f>
        <v>0</v>
      </c>
      <c r="AD97" s="95">
        <f>IF(OR($C97="",AD$21&lt;$B97),0,IF(AD$21=$B97,OpenYearShare,1)*($N97*ContribMargin*IF(AD$21=$B97,Ramp1,IF(AD$21=$B97+1,Ramp2,1))-$P97-INDEX(LicByYear,AL97,AD$21)))</f>
        <v>0</v>
      </c>
      <c r="AF97" s="82">
        <f>AF96+IF($C97="SPLUS",1,0)</f>
        <v>7</v>
      </c>
      <c r="AG97" s="82">
        <f>AG96+IF($C97="S",1,0)</f>
        <v>15</v>
      </c>
      <c r="AH97" s="82">
        <f>AH96+IF($C97="D",1,0)</f>
        <v>8</v>
      </c>
      <c r="AI97" s="105">
        <f>IF(OR($A97&gt;PlanStores,AF96&gt;=INDEX(Target,1)),-1000000000,INDEX(Target,1)*$A97-AF96*PlanStores)</f>
        <v>-1000000000</v>
      </c>
      <c r="AJ97" s="105">
        <f>IF(OR($A97&gt;PlanStores,AG96&gt;=INDEX(Target,2)),-1000000000,INDEX(Target,2)*$A97-AG96*PlanStores)</f>
        <v>-1000000000</v>
      </c>
      <c r="AK97" s="105">
        <f>IF(OR($A97&gt;PlanStores,AH96&gt;=INDEX(Target,3)),-1000000000,INDEX(Target,3)*$A97-AH96*PlanStores)</f>
        <v>-1000000000</v>
      </c>
      <c r="AL97" s="82" t="str">
        <f>IF($C97="","",MATCH($C97,TierCodes,0))</f>
        <v/>
      </c>
      <c r="AM97" s="82" t="str">
        <f>IF($C97="","",IF(OR(StreetChoice="Typical street for its size",INDEX(Cand,AL97)=0),"",MOD($D97-1,INDEX(Cand,AL97))+1))</f>
        <v/>
      </c>
      <c r="AN97" s="82" t="str">
        <f>IF(AM97="","",MATCH($C97&amp;"|"&amp;AM97,Melbourne!$AA$58:$AA$135,0))</f>
        <v/>
      </c>
      <c r="AO97" s="76" t="str">
        <f>IF($C97="","",Ramp1*$N97*ContribMargin-$P97-INDEX(LicPlan,AL97))</f>
        <v/>
      </c>
      <c r="AP97" s="76" t="str">
        <f>IF($C97="","",Ramp2*$N97*ContribMargin-$P97-INDEX(LicPlan,AL97))</f>
        <v/>
      </c>
      <c r="AR97" s="61" t="str">
        <f>IF($C97="","",MAX(Scale!$C$7,($D97+Scale!$C$8*($A97-$D97))^LOG(Scale!$C$6,2)))</f>
        <v/>
      </c>
      <c r="AS97" s="61" t="str">
        <f>IF($C97="","",1-IF(IF(Deal="Commit to the full plan",PlanStores,$A97)&gt;=PBAt4,Scale!$C$12,IF(IF(Deal="Commit to the full plan",PlanStores,$A97)&gt;=PBAt3,Scale!$C$11,IF(IF(Deal="Commit to the full plan",PlanStores,$A97)&gt;=PBAt2,Scale!$C$10,IF(IF(Deal="Commit to the full plan",PlanStores,$A97)&gt;=PBAt1,Scale!$C$9,0)))))</f>
        <v/>
      </c>
      <c r="AT97" s="61" t="str">
        <f>IF($C97="","",MAX(Scale!$D$7,($D97+Scale!$D$8*($A97-$D97))^LOG(Scale!$D$6,2)))</f>
        <v/>
      </c>
      <c r="AU97" s="61" t="str">
        <f>IF($C97="","",1-IF(IF(Deal="Commit to the full plan",PlanStores,$A97)&gt;=PBAt4,Scale!$D$12,IF(IF(Deal="Commit to the full plan",PlanStores,$A97)&gt;=PBAt3,Scale!$D$11,IF(IF(Deal="Commit to the full plan",PlanStores,$A97)&gt;=PBAt2,Scale!$D$10,IF(IF(Deal="Commit to the full plan",PlanStores,$A97)&gt;=PBAt1,Scale!$D$9,0)))))</f>
        <v/>
      </c>
      <c r="AV97" s="61" t="str">
        <f>IF($C97="","",MAX(Scale!$E$7,($D97+Scale!$E$8*($A97-$D97))^LOG(Scale!$E$6,2)))</f>
        <v/>
      </c>
      <c r="AW97" s="61" t="str">
        <f>IF($C97="","",1-IF(IF(Deal="Commit to the full plan",PlanStores,$A97)&gt;=PBAt4,Scale!$E$12,IF(IF(Deal="Commit to the full plan",PlanStores,$A97)&gt;=PBAt3,Scale!$E$11,IF(IF(Deal="Commit to the full plan",PlanStores,$A97)&gt;=PBAt2,Scale!$E$10,IF(IF(Deal="Commit to the full plan",PlanStores,$A97)&gt;=PBAt1,Scale!$E$9,0)))))</f>
        <v/>
      </c>
    </row>
    <row r="98">
      <c r="A98" s="110" t="n">
        <v>77</v>
      </c>
      <c r="B98" s="111" t="str">
        <f>IF($A98&gt;PlanStores,"",1+COUNTIF(CumOpenings,"&lt;"&amp;$A98))</f>
        <v/>
      </c>
      <c r="C98" s="14" t="str">
        <f>IF($A98&gt;PlanStores,"",IF(AND($A98=1,FlagshipFirst="Yes",INDEX(Target,1)&gt;0),"SPLUS",IF(AND(AI98&gt;=AJ98,AI98&gt;=AK98),"SPLUS",IF(AJ98&gt;=AK98,"S","D"))))</f>
        <v/>
      </c>
      <c r="D98" s="111" t="str">
        <f>IF($C98="","",IF($C98="SPLUS",AF98,IF($C98="S",AG98,AH98)))</f>
        <v/>
      </c>
      <c r="E98" s="112" t="str">
        <f>IF($C98="","",$D98+LearnShared*($A98-$D98))</f>
        <v/>
      </c>
      <c r="F98" s="85" t="str">
        <f>IF($C98="","",MAX(LearnFloor,$E98^LOG(LearnRate,2)))</f>
        <v/>
      </c>
      <c r="G98" s="85" t="str">
        <f>IF($C98="","",1-IF(IF(Deal="Commit to the full plan",PlanStores,$A98)&gt;=PBAt4,PBDisc4,IF(IF(Deal="Commit to the full plan",PlanStores,$A98)&gt;=PBAt3,PBDisc3,IF(IF(Deal="Commit to the full plan",PlanStores,$A98)&gt;=PBAt2,PBDisc2,IF(IF(Deal="Commit to the full plan",PlanStores,$A98)&gt;=PBAt1,PBDisc1,0)))))</f>
        <v/>
      </c>
      <c r="H98" s="39" t="str">
        <f>IF($C98="","",INDEX(BaseL,AL98)*$F98+INDEX(BaseV,AL98)*$G98+INDEX(BaseN,AL98))</f>
        <v/>
      </c>
      <c r="I98" s="39" t="str">
        <f>IF($C98="","",$H98*(1+BuildInflation)^($B98-1))</f>
        <v/>
      </c>
      <c r="J98" s="40" t="str">
        <f>IF($C98="","",IF(AN98="",IF(INDEX(Cand,AL98)=0,"No street of this size","Typical "&amp;LOWER(INDEX(TierNames,AL98))&amp;" street"),INDEX(Melbourne!$B$58:$B$135,AN98)))</f>
        <v/>
      </c>
      <c r="K98" s="40" t="str">
        <f>IF(OR($C98="",AN98=""),"",INDEX(Melbourne!$C$58:$C$135,AN98))</f>
        <v/>
      </c>
      <c r="L98" s="46" t="str">
        <f>IF($C98="","",IF(AN98="",INDEX(TypicalF,AL98),INDEX(Melbourne!$E$58:$E$135,AN98)))</f>
        <v/>
      </c>
      <c r="M98" s="86" t="str">
        <f>IF($C98="","",IF(AN98="",INDEX(TypicalQ,AL98),INDEX(Melbourne!$N$58:$N$135,AN98)))</f>
        <v/>
      </c>
      <c r="N98" s="39" t="str">
        <f>IF($C98="","",MIN($L98*Capture*$M98*Conversion*Ticket,INDEX(CapacityPsf,AL98)*INDEX(Area,AL98)))</f>
        <v/>
      </c>
      <c r="O98" s="39" t="str">
        <f>IF($C98="","",INDEX(Area,AL98)*RentPsf*($L98/Fref)^RentElasticity)</f>
        <v/>
      </c>
      <c r="P98" s="39" t="str">
        <f>IF($C98="","",$O98+INDEX(RunOther,AL98))</f>
        <v/>
      </c>
      <c r="Q98" s="95" t="str">
        <f>IF($C98="","",$N98*ContribMargin-$P98-INDEX(LicPlan,AL98))</f>
        <v/>
      </c>
      <c r="R98" s="113" t="str">
        <f>IF($C98="","",IF(AND(AO98&gt;=$H98,AO98&gt;0),$H98/AO98,IF(AND(AO98+AP98&gt;=$H98,AP98&gt;0),1+($H98-AO98)/AP98,IF($Q98&gt;0,2+($H98-AO98-AP98)/$Q98,"Never"))))</f>
        <v/>
      </c>
      <c r="S98" s="39" t="str">
        <f>IF($C98="","",StockWeeks/52*$N98*(1-GrossMargin))</f>
        <v/>
      </c>
      <c r="U98" s="95">
        <f>IF(OR($C98="",U$21&lt;$B98),0,IF(U$21=$B98,OpenYearShare,1)*($N98*ContribMargin*IF(U$21=$B98,Ramp1,IF(U$21=$B98+1,Ramp2,1))-$P98-INDEX(LicByYear,AL98,U$21)))</f>
        <v>0</v>
      </c>
      <c r="V98" s="95">
        <f>IF(OR($C98="",V$21&lt;$B98),0,IF(V$21=$B98,OpenYearShare,1)*($N98*ContribMargin*IF(V$21=$B98,Ramp1,IF(V$21=$B98+1,Ramp2,1))-$P98-INDEX(LicByYear,AL98,V$21)))</f>
        <v>0</v>
      </c>
      <c r="W98" s="95">
        <f>IF(OR($C98="",W$21&lt;$B98),0,IF(W$21=$B98,OpenYearShare,1)*($N98*ContribMargin*IF(W$21=$B98,Ramp1,IF(W$21=$B98+1,Ramp2,1))-$P98-INDEX(LicByYear,AL98,W$21)))</f>
        <v>0</v>
      </c>
      <c r="X98" s="95">
        <f>IF(OR($C98="",X$21&lt;$B98),0,IF(X$21=$B98,OpenYearShare,1)*($N98*ContribMargin*IF(X$21=$B98,Ramp1,IF(X$21=$B98+1,Ramp2,1))-$P98-INDEX(LicByYear,AL98,X$21)))</f>
        <v>0</v>
      </c>
      <c r="Y98" s="95">
        <f>IF(OR($C98="",Y$21&lt;$B98),0,IF(Y$21=$B98,OpenYearShare,1)*($N98*ContribMargin*IF(Y$21=$B98,Ramp1,IF(Y$21=$B98+1,Ramp2,1))-$P98-INDEX(LicByYear,AL98,Y$21)))</f>
        <v>0</v>
      </c>
      <c r="Z98" s="95">
        <f>IF(OR($C98="",Z$21&lt;$B98),0,IF(Z$21=$B98,OpenYearShare,1)*($N98*ContribMargin*IF(Z$21=$B98,Ramp1,IF(Z$21=$B98+1,Ramp2,1))-$P98-INDEX(LicByYear,AL98,Z$21)))</f>
        <v>0</v>
      </c>
      <c r="AA98" s="95">
        <f>IF(OR($C98="",AA$21&lt;$B98),0,IF(AA$21=$B98,OpenYearShare,1)*($N98*ContribMargin*IF(AA$21=$B98,Ramp1,IF(AA$21=$B98+1,Ramp2,1))-$P98-INDEX(LicByYear,AL98,AA$21)))</f>
        <v>0</v>
      </c>
      <c r="AB98" s="95">
        <f>IF(OR($C98="",AB$21&lt;$B98),0,IF(AB$21=$B98,OpenYearShare,1)*($N98*ContribMargin*IF(AB$21=$B98,Ramp1,IF(AB$21=$B98+1,Ramp2,1))-$P98-INDEX(LicByYear,AL98,AB$21)))</f>
        <v>0</v>
      </c>
      <c r="AC98" s="95">
        <f>IF(OR($C98="",AC$21&lt;$B98),0,IF(AC$21=$B98,OpenYearShare,1)*($N98*ContribMargin*IF(AC$21=$B98,Ramp1,IF(AC$21=$B98+1,Ramp2,1))-$P98-INDEX(LicByYear,AL98,AC$21)))</f>
        <v>0</v>
      </c>
      <c r="AD98" s="95">
        <f>IF(OR($C98="",AD$21&lt;$B98),0,IF(AD$21=$B98,OpenYearShare,1)*($N98*ContribMargin*IF(AD$21=$B98,Ramp1,IF(AD$21=$B98+1,Ramp2,1))-$P98-INDEX(LicByYear,AL98,AD$21)))</f>
        <v>0</v>
      </c>
      <c r="AF98" s="82">
        <f>AF97+IF($C98="SPLUS",1,0)</f>
        <v>7</v>
      </c>
      <c r="AG98" s="82">
        <f>AG97+IF($C98="S",1,0)</f>
        <v>15</v>
      </c>
      <c r="AH98" s="82">
        <f>AH97+IF($C98="D",1,0)</f>
        <v>8</v>
      </c>
      <c r="AI98" s="105">
        <f>IF(OR($A98&gt;PlanStores,AF97&gt;=INDEX(Target,1)),-1000000000,INDEX(Target,1)*$A98-AF97*PlanStores)</f>
        <v>-1000000000</v>
      </c>
      <c r="AJ98" s="105">
        <f>IF(OR($A98&gt;PlanStores,AG97&gt;=INDEX(Target,2)),-1000000000,INDEX(Target,2)*$A98-AG97*PlanStores)</f>
        <v>-1000000000</v>
      </c>
      <c r="AK98" s="105">
        <f>IF(OR($A98&gt;PlanStores,AH97&gt;=INDEX(Target,3)),-1000000000,INDEX(Target,3)*$A98-AH97*PlanStores)</f>
        <v>-1000000000</v>
      </c>
      <c r="AL98" s="82" t="str">
        <f>IF($C98="","",MATCH($C98,TierCodes,0))</f>
        <v/>
      </c>
      <c r="AM98" s="82" t="str">
        <f>IF($C98="","",IF(OR(StreetChoice="Typical street for its size",INDEX(Cand,AL98)=0),"",MOD($D98-1,INDEX(Cand,AL98))+1))</f>
        <v/>
      </c>
      <c r="AN98" s="82" t="str">
        <f>IF(AM98="","",MATCH($C98&amp;"|"&amp;AM98,Melbourne!$AA$58:$AA$135,0))</f>
        <v/>
      </c>
      <c r="AO98" s="76" t="str">
        <f>IF($C98="","",Ramp1*$N98*ContribMargin-$P98-INDEX(LicPlan,AL98))</f>
        <v/>
      </c>
      <c r="AP98" s="76" t="str">
        <f>IF($C98="","",Ramp2*$N98*ContribMargin-$P98-INDEX(LicPlan,AL98))</f>
        <v/>
      </c>
      <c r="AR98" s="61" t="str">
        <f>IF($C98="","",MAX(Scale!$C$7,($D98+Scale!$C$8*($A98-$D98))^LOG(Scale!$C$6,2)))</f>
        <v/>
      </c>
      <c r="AS98" s="61" t="str">
        <f>IF($C98="","",1-IF(IF(Deal="Commit to the full plan",PlanStores,$A98)&gt;=PBAt4,Scale!$C$12,IF(IF(Deal="Commit to the full plan",PlanStores,$A98)&gt;=PBAt3,Scale!$C$11,IF(IF(Deal="Commit to the full plan",PlanStores,$A98)&gt;=PBAt2,Scale!$C$10,IF(IF(Deal="Commit to the full plan",PlanStores,$A98)&gt;=PBAt1,Scale!$C$9,0)))))</f>
        <v/>
      </c>
      <c r="AT98" s="61" t="str">
        <f>IF($C98="","",MAX(Scale!$D$7,($D98+Scale!$D$8*($A98-$D98))^LOG(Scale!$D$6,2)))</f>
        <v/>
      </c>
      <c r="AU98" s="61" t="str">
        <f>IF($C98="","",1-IF(IF(Deal="Commit to the full plan",PlanStores,$A98)&gt;=PBAt4,Scale!$D$12,IF(IF(Deal="Commit to the full plan",PlanStores,$A98)&gt;=PBAt3,Scale!$D$11,IF(IF(Deal="Commit to the full plan",PlanStores,$A98)&gt;=PBAt2,Scale!$D$10,IF(IF(Deal="Commit to the full plan",PlanStores,$A98)&gt;=PBAt1,Scale!$D$9,0)))))</f>
        <v/>
      </c>
      <c r="AV98" s="61" t="str">
        <f>IF($C98="","",MAX(Scale!$E$7,($D98+Scale!$E$8*($A98-$D98))^LOG(Scale!$E$6,2)))</f>
        <v/>
      </c>
      <c r="AW98" s="61" t="str">
        <f>IF($C98="","",1-IF(IF(Deal="Commit to the full plan",PlanStores,$A98)&gt;=PBAt4,Scale!$E$12,IF(IF(Deal="Commit to the full plan",PlanStores,$A98)&gt;=PBAt3,Scale!$E$11,IF(IF(Deal="Commit to the full plan",PlanStores,$A98)&gt;=PBAt2,Scale!$E$10,IF(IF(Deal="Commit to the full plan",PlanStores,$A98)&gt;=PBAt1,Scale!$E$9,0)))))</f>
        <v/>
      </c>
    </row>
    <row r="99">
      <c r="A99" s="110" t="n">
        <v>78</v>
      </c>
      <c r="B99" s="111" t="str">
        <f>IF($A99&gt;PlanStores,"",1+COUNTIF(CumOpenings,"&lt;"&amp;$A99))</f>
        <v/>
      </c>
      <c r="C99" s="14" t="str">
        <f>IF($A99&gt;PlanStores,"",IF(AND($A99=1,FlagshipFirst="Yes",INDEX(Target,1)&gt;0),"SPLUS",IF(AND(AI99&gt;=AJ99,AI99&gt;=AK99),"SPLUS",IF(AJ99&gt;=AK99,"S","D"))))</f>
        <v/>
      </c>
      <c r="D99" s="111" t="str">
        <f>IF($C99="","",IF($C99="SPLUS",AF99,IF($C99="S",AG99,AH99)))</f>
        <v/>
      </c>
      <c r="E99" s="112" t="str">
        <f>IF($C99="","",$D99+LearnShared*($A99-$D99))</f>
        <v/>
      </c>
      <c r="F99" s="85" t="str">
        <f>IF($C99="","",MAX(LearnFloor,$E99^LOG(LearnRate,2)))</f>
        <v/>
      </c>
      <c r="G99" s="85" t="str">
        <f>IF($C99="","",1-IF(IF(Deal="Commit to the full plan",PlanStores,$A99)&gt;=PBAt4,PBDisc4,IF(IF(Deal="Commit to the full plan",PlanStores,$A99)&gt;=PBAt3,PBDisc3,IF(IF(Deal="Commit to the full plan",PlanStores,$A99)&gt;=PBAt2,PBDisc2,IF(IF(Deal="Commit to the full plan",PlanStores,$A99)&gt;=PBAt1,PBDisc1,0)))))</f>
        <v/>
      </c>
      <c r="H99" s="39" t="str">
        <f>IF($C99="","",INDEX(BaseL,AL99)*$F99+INDEX(BaseV,AL99)*$G99+INDEX(BaseN,AL99))</f>
        <v/>
      </c>
      <c r="I99" s="39" t="str">
        <f>IF($C99="","",$H99*(1+BuildInflation)^($B99-1))</f>
        <v/>
      </c>
      <c r="J99" s="40" t="str">
        <f>IF($C99="","",IF(AN99="",IF(INDEX(Cand,AL99)=0,"No street of this size","Typical "&amp;LOWER(INDEX(TierNames,AL99))&amp;" street"),INDEX(Melbourne!$B$58:$B$135,AN99)))</f>
        <v/>
      </c>
      <c r="K99" s="40" t="str">
        <f>IF(OR($C99="",AN99=""),"",INDEX(Melbourne!$C$58:$C$135,AN99))</f>
        <v/>
      </c>
      <c r="L99" s="46" t="str">
        <f>IF($C99="","",IF(AN99="",INDEX(TypicalF,AL99),INDEX(Melbourne!$E$58:$E$135,AN99)))</f>
        <v/>
      </c>
      <c r="M99" s="86" t="str">
        <f>IF($C99="","",IF(AN99="",INDEX(TypicalQ,AL99),INDEX(Melbourne!$N$58:$N$135,AN99)))</f>
        <v/>
      </c>
      <c r="N99" s="39" t="str">
        <f>IF($C99="","",MIN($L99*Capture*$M99*Conversion*Ticket,INDEX(CapacityPsf,AL99)*INDEX(Area,AL99)))</f>
        <v/>
      </c>
      <c r="O99" s="39" t="str">
        <f>IF($C99="","",INDEX(Area,AL99)*RentPsf*($L99/Fref)^RentElasticity)</f>
        <v/>
      </c>
      <c r="P99" s="39" t="str">
        <f>IF($C99="","",$O99+INDEX(RunOther,AL99))</f>
        <v/>
      </c>
      <c r="Q99" s="95" t="str">
        <f>IF($C99="","",$N99*ContribMargin-$P99-INDEX(LicPlan,AL99))</f>
        <v/>
      </c>
      <c r="R99" s="113" t="str">
        <f>IF($C99="","",IF(AND(AO99&gt;=$H99,AO99&gt;0),$H99/AO99,IF(AND(AO99+AP99&gt;=$H99,AP99&gt;0),1+($H99-AO99)/AP99,IF($Q99&gt;0,2+($H99-AO99-AP99)/$Q99,"Never"))))</f>
        <v/>
      </c>
      <c r="S99" s="39" t="str">
        <f>IF($C99="","",StockWeeks/52*$N99*(1-GrossMargin))</f>
        <v/>
      </c>
      <c r="U99" s="95">
        <f>IF(OR($C99="",U$21&lt;$B99),0,IF(U$21=$B99,OpenYearShare,1)*($N99*ContribMargin*IF(U$21=$B99,Ramp1,IF(U$21=$B99+1,Ramp2,1))-$P99-INDEX(LicByYear,AL99,U$21)))</f>
        <v>0</v>
      </c>
      <c r="V99" s="95">
        <f>IF(OR($C99="",V$21&lt;$B99),0,IF(V$21=$B99,OpenYearShare,1)*($N99*ContribMargin*IF(V$21=$B99,Ramp1,IF(V$21=$B99+1,Ramp2,1))-$P99-INDEX(LicByYear,AL99,V$21)))</f>
        <v>0</v>
      </c>
      <c r="W99" s="95">
        <f>IF(OR($C99="",W$21&lt;$B99),0,IF(W$21=$B99,OpenYearShare,1)*($N99*ContribMargin*IF(W$21=$B99,Ramp1,IF(W$21=$B99+1,Ramp2,1))-$P99-INDEX(LicByYear,AL99,W$21)))</f>
        <v>0</v>
      </c>
      <c r="X99" s="95">
        <f>IF(OR($C99="",X$21&lt;$B99),0,IF(X$21=$B99,OpenYearShare,1)*($N99*ContribMargin*IF(X$21=$B99,Ramp1,IF(X$21=$B99+1,Ramp2,1))-$P99-INDEX(LicByYear,AL99,X$21)))</f>
        <v>0</v>
      </c>
      <c r="Y99" s="95">
        <f>IF(OR($C99="",Y$21&lt;$B99),0,IF(Y$21=$B99,OpenYearShare,1)*($N99*ContribMargin*IF(Y$21=$B99,Ramp1,IF(Y$21=$B99+1,Ramp2,1))-$P99-INDEX(LicByYear,AL99,Y$21)))</f>
        <v>0</v>
      </c>
      <c r="Z99" s="95">
        <f>IF(OR($C99="",Z$21&lt;$B99),0,IF(Z$21=$B99,OpenYearShare,1)*($N99*ContribMargin*IF(Z$21=$B99,Ramp1,IF(Z$21=$B99+1,Ramp2,1))-$P99-INDEX(LicByYear,AL99,Z$21)))</f>
        <v>0</v>
      </c>
      <c r="AA99" s="95">
        <f>IF(OR($C99="",AA$21&lt;$B99),0,IF(AA$21=$B99,OpenYearShare,1)*($N99*ContribMargin*IF(AA$21=$B99,Ramp1,IF(AA$21=$B99+1,Ramp2,1))-$P99-INDEX(LicByYear,AL99,AA$21)))</f>
        <v>0</v>
      </c>
      <c r="AB99" s="95">
        <f>IF(OR($C99="",AB$21&lt;$B99),0,IF(AB$21=$B99,OpenYearShare,1)*($N99*ContribMargin*IF(AB$21=$B99,Ramp1,IF(AB$21=$B99+1,Ramp2,1))-$P99-INDEX(LicByYear,AL99,AB$21)))</f>
        <v>0</v>
      </c>
      <c r="AC99" s="95">
        <f>IF(OR($C99="",AC$21&lt;$B99),0,IF(AC$21=$B99,OpenYearShare,1)*($N99*ContribMargin*IF(AC$21=$B99,Ramp1,IF(AC$21=$B99+1,Ramp2,1))-$P99-INDEX(LicByYear,AL99,AC$21)))</f>
        <v>0</v>
      </c>
      <c r="AD99" s="95">
        <f>IF(OR($C99="",AD$21&lt;$B99),0,IF(AD$21=$B99,OpenYearShare,1)*($N99*ContribMargin*IF(AD$21=$B99,Ramp1,IF(AD$21=$B99+1,Ramp2,1))-$P99-INDEX(LicByYear,AL99,AD$21)))</f>
        <v>0</v>
      </c>
      <c r="AF99" s="82">
        <f>AF98+IF($C99="SPLUS",1,0)</f>
        <v>7</v>
      </c>
      <c r="AG99" s="82">
        <f>AG98+IF($C99="S",1,0)</f>
        <v>15</v>
      </c>
      <c r="AH99" s="82">
        <f>AH98+IF($C99="D",1,0)</f>
        <v>8</v>
      </c>
      <c r="AI99" s="105">
        <f>IF(OR($A99&gt;PlanStores,AF98&gt;=INDEX(Target,1)),-1000000000,INDEX(Target,1)*$A99-AF98*PlanStores)</f>
        <v>-1000000000</v>
      </c>
      <c r="AJ99" s="105">
        <f>IF(OR($A99&gt;PlanStores,AG98&gt;=INDEX(Target,2)),-1000000000,INDEX(Target,2)*$A99-AG98*PlanStores)</f>
        <v>-1000000000</v>
      </c>
      <c r="AK99" s="105">
        <f>IF(OR($A99&gt;PlanStores,AH98&gt;=INDEX(Target,3)),-1000000000,INDEX(Target,3)*$A99-AH98*PlanStores)</f>
        <v>-1000000000</v>
      </c>
      <c r="AL99" s="82" t="str">
        <f>IF($C99="","",MATCH($C99,TierCodes,0))</f>
        <v/>
      </c>
      <c r="AM99" s="82" t="str">
        <f>IF($C99="","",IF(OR(StreetChoice="Typical street for its size",INDEX(Cand,AL99)=0),"",MOD($D99-1,INDEX(Cand,AL99))+1))</f>
        <v/>
      </c>
      <c r="AN99" s="82" t="str">
        <f>IF(AM99="","",MATCH($C99&amp;"|"&amp;AM99,Melbourne!$AA$58:$AA$135,0))</f>
        <v/>
      </c>
      <c r="AO99" s="76" t="str">
        <f>IF($C99="","",Ramp1*$N99*ContribMargin-$P99-INDEX(LicPlan,AL99))</f>
        <v/>
      </c>
      <c r="AP99" s="76" t="str">
        <f>IF($C99="","",Ramp2*$N99*ContribMargin-$P99-INDEX(LicPlan,AL99))</f>
        <v/>
      </c>
      <c r="AR99" s="61" t="str">
        <f>IF($C99="","",MAX(Scale!$C$7,($D99+Scale!$C$8*($A99-$D99))^LOG(Scale!$C$6,2)))</f>
        <v/>
      </c>
      <c r="AS99" s="61" t="str">
        <f>IF($C99="","",1-IF(IF(Deal="Commit to the full plan",PlanStores,$A99)&gt;=PBAt4,Scale!$C$12,IF(IF(Deal="Commit to the full plan",PlanStores,$A99)&gt;=PBAt3,Scale!$C$11,IF(IF(Deal="Commit to the full plan",PlanStores,$A99)&gt;=PBAt2,Scale!$C$10,IF(IF(Deal="Commit to the full plan",PlanStores,$A99)&gt;=PBAt1,Scale!$C$9,0)))))</f>
        <v/>
      </c>
      <c r="AT99" s="61" t="str">
        <f>IF($C99="","",MAX(Scale!$D$7,($D99+Scale!$D$8*($A99-$D99))^LOG(Scale!$D$6,2)))</f>
        <v/>
      </c>
      <c r="AU99" s="61" t="str">
        <f>IF($C99="","",1-IF(IF(Deal="Commit to the full plan",PlanStores,$A99)&gt;=PBAt4,Scale!$D$12,IF(IF(Deal="Commit to the full plan",PlanStores,$A99)&gt;=PBAt3,Scale!$D$11,IF(IF(Deal="Commit to the full plan",PlanStores,$A99)&gt;=PBAt2,Scale!$D$10,IF(IF(Deal="Commit to the full plan",PlanStores,$A99)&gt;=PBAt1,Scale!$D$9,0)))))</f>
        <v/>
      </c>
      <c r="AV99" s="61" t="str">
        <f>IF($C99="","",MAX(Scale!$E$7,($D99+Scale!$E$8*($A99-$D99))^LOG(Scale!$E$6,2)))</f>
        <v/>
      </c>
      <c r="AW99" s="61" t="str">
        <f>IF($C99="","",1-IF(IF(Deal="Commit to the full plan",PlanStores,$A99)&gt;=PBAt4,Scale!$E$12,IF(IF(Deal="Commit to the full plan",PlanStores,$A99)&gt;=PBAt3,Scale!$E$11,IF(IF(Deal="Commit to the full plan",PlanStores,$A99)&gt;=PBAt2,Scale!$E$10,IF(IF(Deal="Commit to the full plan",PlanStores,$A99)&gt;=PBAt1,Scale!$E$9,0)))))</f>
        <v/>
      </c>
    </row>
    <row r="100">
      <c r="A100" s="110" t="n">
        <v>79</v>
      </c>
      <c r="B100" s="111" t="str">
        <f>IF($A100&gt;PlanStores,"",1+COUNTIF(CumOpenings,"&lt;"&amp;$A100))</f>
        <v/>
      </c>
      <c r="C100" s="14" t="str">
        <f>IF($A100&gt;PlanStores,"",IF(AND($A100=1,FlagshipFirst="Yes",INDEX(Target,1)&gt;0),"SPLUS",IF(AND(AI100&gt;=AJ100,AI100&gt;=AK100),"SPLUS",IF(AJ100&gt;=AK100,"S","D"))))</f>
        <v/>
      </c>
      <c r="D100" s="111" t="str">
        <f>IF($C100="","",IF($C100="SPLUS",AF100,IF($C100="S",AG100,AH100)))</f>
        <v/>
      </c>
      <c r="E100" s="112" t="str">
        <f>IF($C100="","",$D100+LearnShared*($A100-$D100))</f>
        <v/>
      </c>
      <c r="F100" s="85" t="str">
        <f>IF($C100="","",MAX(LearnFloor,$E100^LOG(LearnRate,2)))</f>
        <v/>
      </c>
      <c r="G100" s="85" t="str">
        <f>IF($C100="","",1-IF(IF(Deal="Commit to the full plan",PlanStores,$A100)&gt;=PBAt4,PBDisc4,IF(IF(Deal="Commit to the full plan",PlanStores,$A100)&gt;=PBAt3,PBDisc3,IF(IF(Deal="Commit to the full plan",PlanStores,$A100)&gt;=PBAt2,PBDisc2,IF(IF(Deal="Commit to the full plan",PlanStores,$A100)&gt;=PBAt1,PBDisc1,0)))))</f>
        <v/>
      </c>
      <c r="H100" s="39" t="str">
        <f>IF($C100="","",INDEX(BaseL,AL100)*$F100+INDEX(BaseV,AL100)*$G100+INDEX(BaseN,AL100))</f>
        <v/>
      </c>
      <c r="I100" s="39" t="str">
        <f>IF($C100="","",$H100*(1+BuildInflation)^($B100-1))</f>
        <v/>
      </c>
      <c r="J100" s="40" t="str">
        <f>IF($C100="","",IF(AN100="",IF(INDEX(Cand,AL100)=0,"No street of this size","Typical "&amp;LOWER(INDEX(TierNames,AL100))&amp;" street"),INDEX(Melbourne!$B$58:$B$135,AN100)))</f>
        <v/>
      </c>
      <c r="K100" s="40" t="str">
        <f>IF(OR($C100="",AN100=""),"",INDEX(Melbourne!$C$58:$C$135,AN100))</f>
        <v/>
      </c>
      <c r="L100" s="46" t="str">
        <f>IF($C100="","",IF(AN100="",INDEX(TypicalF,AL100),INDEX(Melbourne!$E$58:$E$135,AN100)))</f>
        <v/>
      </c>
      <c r="M100" s="86" t="str">
        <f>IF($C100="","",IF(AN100="",INDEX(TypicalQ,AL100),INDEX(Melbourne!$N$58:$N$135,AN100)))</f>
        <v/>
      </c>
      <c r="N100" s="39" t="str">
        <f>IF($C100="","",MIN($L100*Capture*$M100*Conversion*Ticket,INDEX(CapacityPsf,AL100)*INDEX(Area,AL100)))</f>
        <v/>
      </c>
      <c r="O100" s="39" t="str">
        <f>IF($C100="","",INDEX(Area,AL100)*RentPsf*($L100/Fref)^RentElasticity)</f>
        <v/>
      </c>
      <c r="P100" s="39" t="str">
        <f>IF($C100="","",$O100+INDEX(RunOther,AL100))</f>
        <v/>
      </c>
      <c r="Q100" s="95" t="str">
        <f>IF($C100="","",$N100*ContribMargin-$P100-INDEX(LicPlan,AL100))</f>
        <v/>
      </c>
      <c r="R100" s="113" t="str">
        <f>IF($C100="","",IF(AND(AO100&gt;=$H100,AO100&gt;0),$H100/AO100,IF(AND(AO100+AP100&gt;=$H100,AP100&gt;0),1+($H100-AO100)/AP100,IF($Q100&gt;0,2+($H100-AO100-AP100)/$Q100,"Never"))))</f>
        <v/>
      </c>
      <c r="S100" s="39" t="str">
        <f>IF($C100="","",StockWeeks/52*$N100*(1-GrossMargin))</f>
        <v/>
      </c>
      <c r="U100" s="95">
        <f>IF(OR($C100="",U$21&lt;$B100),0,IF(U$21=$B100,OpenYearShare,1)*($N100*ContribMargin*IF(U$21=$B100,Ramp1,IF(U$21=$B100+1,Ramp2,1))-$P100-INDEX(LicByYear,AL100,U$21)))</f>
        <v>0</v>
      </c>
      <c r="V100" s="95">
        <f>IF(OR($C100="",V$21&lt;$B100),0,IF(V$21=$B100,OpenYearShare,1)*($N100*ContribMargin*IF(V$21=$B100,Ramp1,IF(V$21=$B100+1,Ramp2,1))-$P100-INDEX(LicByYear,AL100,V$21)))</f>
        <v>0</v>
      </c>
      <c r="W100" s="95">
        <f>IF(OR($C100="",W$21&lt;$B100),0,IF(W$21=$B100,OpenYearShare,1)*($N100*ContribMargin*IF(W$21=$B100,Ramp1,IF(W$21=$B100+1,Ramp2,1))-$P100-INDEX(LicByYear,AL100,W$21)))</f>
        <v>0</v>
      </c>
      <c r="X100" s="95">
        <f>IF(OR($C100="",X$21&lt;$B100),0,IF(X$21=$B100,OpenYearShare,1)*($N100*ContribMargin*IF(X$21=$B100,Ramp1,IF(X$21=$B100+1,Ramp2,1))-$P100-INDEX(LicByYear,AL100,X$21)))</f>
        <v>0</v>
      </c>
      <c r="Y100" s="95">
        <f>IF(OR($C100="",Y$21&lt;$B100),0,IF(Y$21=$B100,OpenYearShare,1)*($N100*ContribMargin*IF(Y$21=$B100,Ramp1,IF(Y$21=$B100+1,Ramp2,1))-$P100-INDEX(LicByYear,AL100,Y$21)))</f>
        <v>0</v>
      </c>
      <c r="Z100" s="95">
        <f>IF(OR($C100="",Z$21&lt;$B100),0,IF(Z$21=$B100,OpenYearShare,1)*($N100*ContribMargin*IF(Z$21=$B100,Ramp1,IF(Z$21=$B100+1,Ramp2,1))-$P100-INDEX(LicByYear,AL100,Z$21)))</f>
        <v>0</v>
      </c>
      <c r="AA100" s="95">
        <f>IF(OR($C100="",AA$21&lt;$B100),0,IF(AA$21=$B100,OpenYearShare,1)*($N100*ContribMargin*IF(AA$21=$B100,Ramp1,IF(AA$21=$B100+1,Ramp2,1))-$P100-INDEX(LicByYear,AL100,AA$21)))</f>
        <v>0</v>
      </c>
      <c r="AB100" s="95">
        <f>IF(OR($C100="",AB$21&lt;$B100),0,IF(AB$21=$B100,OpenYearShare,1)*($N100*ContribMargin*IF(AB$21=$B100,Ramp1,IF(AB$21=$B100+1,Ramp2,1))-$P100-INDEX(LicByYear,AL100,AB$21)))</f>
        <v>0</v>
      </c>
      <c r="AC100" s="95">
        <f>IF(OR($C100="",AC$21&lt;$B100),0,IF(AC$21=$B100,OpenYearShare,1)*($N100*ContribMargin*IF(AC$21=$B100,Ramp1,IF(AC$21=$B100+1,Ramp2,1))-$P100-INDEX(LicByYear,AL100,AC$21)))</f>
        <v>0</v>
      </c>
      <c r="AD100" s="95">
        <f>IF(OR($C100="",AD$21&lt;$B100),0,IF(AD$21=$B100,OpenYearShare,1)*($N100*ContribMargin*IF(AD$21=$B100,Ramp1,IF(AD$21=$B100+1,Ramp2,1))-$P100-INDEX(LicByYear,AL100,AD$21)))</f>
        <v>0</v>
      </c>
      <c r="AF100" s="82">
        <f>AF99+IF($C100="SPLUS",1,0)</f>
        <v>7</v>
      </c>
      <c r="AG100" s="82">
        <f>AG99+IF($C100="S",1,0)</f>
        <v>15</v>
      </c>
      <c r="AH100" s="82">
        <f>AH99+IF($C100="D",1,0)</f>
        <v>8</v>
      </c>
      <c r="AI100" s="105">
        <f>IF(OR($A100&gt;PlanStores,AF99&gt;=INDEX(Target,1)),-1000000000,INDEX(Target,1)*$A100-AF99*PlanStores)</f>
        <v>-1000000000</v>
      </c>
      <c r="AJ100" s="105">
        <f>IF(OR($A100&gt;PlanStores,AG99&gt;=INDEX(Target,2)),-1000000000,INDEX(Target,2)*$A100-AG99*PlanStores)</f>
        <v>-1000000000</v>
      </c>
      <c r="AK100" s="105">
        <f>IF(OR($A100&gt;PlanStores,AH99&gt;=INDEX(Target,3)),-1000000000,INDEX(Target,3)*$A100-AH99*PlanStores)</f>
        <v>-1000000000</v>
      </c>
      <c r="AL100" s="82" t="str">
        <f>IF($C100="","",MATCH($C100,TierCodes,0))</f>
        <v/>
      </c>
      <c r="AM100" s="82" t="str">
        <f>IF($C100="","",IF(OR(StreetChoice="Typical street for its size",INDEX(Cand,AL100)=0),"",MOD($D100-1,INDEX(Cand,AL100))+1))</f>
        <v/>
      </c>
      <c r="AN100" s="82" t="str">
        <f>IF(AM100="","",MATCH($C100&amp;"|"&amp;AM100,Melbourne!$AA$58:$AA$135,0))</f>
        <v/>
      </c>
      <c r="AO100" s="76" t="str">
        <f>IF($C100="","",Ramp1*$N100*ContribMargin-$P100-INDEX(LicPlan,AL100))</f>
        <v/>
      </c>
      <c r="AP100" s="76" t="str">
        <f>IF($C100="","",Ramp2*$N100*ContribMargin-$P100-INDEX(LicPlan,AL100))</f>
        <v/>
      </c>
      <c r="AR100" s="61" t="str">
        <f>IF($C100="","",MAX(Scale!$C$7,($D100+Scale!$C$8*($A100-$D100))^LOG(Scale!$C$6,2)))</f>
        <v/>
      </c>
      <c r="AS100" s="61" t="str">
        <f>IF($C100="","",1-IF(IF(Deal="Commit to the full plan",PlanStores,$A100)&gt;=PBAt4,Scale!$C$12,IF(IF(Deal="Commit to the full plan",PlanStores,$A100)&gt;=PBAt3,Scale!$C$11,IF(IF(Deal="Commit to the full plan",PlanStores,$A100)&gt;=PBAt2,Scale!$C$10,IF(IF(Deal="Commit to the full plan",PlanStores,$A100)&gt;=PBAt1,Scale!$C$9,0)))))</f>
        <v/>
      </c>
      <c r="AT100" s="61" t="str">
        <f>IF($C100="","",MAX(Scale!$D$7,($D100+Scale!$D$8*($A100-$D100))^LOG(Scale!$D$6,2)))</f>
        <v/>
      </c>
      <c r="AU100" s="61" t="str">
        <f>IF($C100="","",1-IF(IF(Deal="Commit to the full plan",PlanStores,$A100)&gt;=PBAt4,Scale!$D$12,IF(IF(Deal="Commit to the full plan",PlanStores,$A100)&gt;=PBAt3,Scale!$D$11,IF(IF(Deal="Commit to the full plan",PlanStores,$A100)&gt;=PBAt2,Scale!$D$10,IF(IF(Deal="Commit to the full plan",PlanStores,$A100)&gt;=PBAt1,Scale!$D$9,0)))))</f>
        <v/>
      </c>
      <c r="AV100" s="61" t="str">
        <f>IF($C100="","",MAX(Scale!$E$7,($D100+Scale!$E$8*($A100-$D100))^LOG(Scale!$E$6,2)))</f>
        <v/>
      </c>
      <c r="AW100" s="61" t="str">
        <f>IF($C100="","",1-IF(IF(Deal="Commit to the full plan",PlanStores,$A100)&gt;=PBAt4,Scale!$E$12,IF(IF(Deal="Commit to the full plan",PlanStores,$A100)&gt;=PBAt3,Scale!$E$11,IF(IF(Deal="Commit to the full plan",PlanStores,$A100)&gt;=PBAt2,Scale!$E$10,IF(IF(Deal="Commit to the full plan",PlanStores,$A100)&gt;=PBAt1,Scale!$E$9,0)))))</f>
        <v/>
      </c>
    </row>
    <row r="101">
      <c r="A101" s="110" t="n">
        <v>80</v>
      </c>
      <c r="B101" s="111" t="str">
        <f>IF($A101&gt;PlanStores,"",1+COUNTIF(CumOpenings,"&lt;"&amp;$A101))</f>
        <v/>
      </c>
      <c r="C101" s="14" t="str">
        <f>IF($A101&gt;PlanStores,"",IF(AND($A101=1,FlagshipFirst="Yes",INDEX(Target,1)&gt;0),"SPLUS",IF(AND(AI101&gt;=AJ101,AI101&gt;=AK101),"SPLUS",IF(AJ101&gt;=AK101,"S","D"))))</f>
        <v/>
      </c>
      <c r="D101" s="111" t="str">
        <f>IF($C101="","",IF($C101="SPLUS",AF101,IF($C101="S",AG101,AH101)))</f>
        <v/>
      </c>
      <c r="E101" s="112" t="str">
        <f>IF($C101="","",$D101+LearnShared*($A101-$D101))</f>
        <v/>
      </c>
      <c r="F101" s="85" t="str">
        <f>IF($C101="","",MAX(LearnFloor,$E101^LOG(LearnRate,2)))</f>
        <v/>
      </c>
      <c r="G101" s="85" t="str">
        <f>IF($C101="","",1-IF(IF(Deal="Commit to the full plan",PlanStores,$A101)&gt;=PBAt4,PBDisc4,IF(IF(Deal="Commit to the full plan",PlanStores,$A101)&gt;=PBAt3,PBDisc3,IF(IF(Deal="Commit to the full plan",PlanStores,$A101)&gt;=PBAt2,PBDisc2,IF(IF(Deal="Commit to the full plan",PlanStores,$A101)&gt;=PBAt1,PBDisc1,0)))))</f>
        <v/>
      </c>
      <c r="H101" s="39" t="str">
        <f>IF($C101="","",INDEX(BaseL,AL101)*$F101+INDEX(BaseV,AL101)*$G101+INDEX(BaseN,AL101))</f>
        <v/>
      </c>
      <c r="I101" s="39" t="str">
        <f>IF($C101="","",$H101*(1+BuildInflation)^($B101-1))</f>
        <v/>
      </c>
      <c r="J101" s="40" t="str">
        <f>IF($C101="","",IF(AN101="",IF(INDEX(Cand,AL101)=0,"No street of this size","Typical "&amp;LOWER(INDEX(TierNames,AL101))&amp;" street"),INDEX(Melbourne!$B$58:$B$135,AN101)))</f>
        <v/>
      </c>
      <c r="K101" s="40" t="str">
        <f>IF(OR($C101="",AN101=""),"",INDEX(Melbourne!$C$58:$C$135,AN101))</f>
        <v/>
      </c>
      <c r="L101" s="46" t="str">
        <f>IF($C101="","",IF(AN101="",INDEX(TypicalF,AL101),INDEX(Melbourne!$E$58:$E$135,AN101)))</f>
        <v/>
      </c>
      <c r="M101" s="86" t="str">
        <f>IF($C101="","",IF(AN101="",INDEX(TypicalQ,AL101),INDEX(Melbourne!$N$58:$N$135,AN101)))</f>
        <v/>
      </c>
      <c r="N101" s="39" t="str">
        <f>IF($C101="","",MIN($L101*Capture*$M101*Conversion*Ticket,INDEX(CapacityPsf,AL101)*INDEX(Area,AL101)))</f>
        <v/>
      </c>
      <c r="O101" s="39" t="str">
        <f>IF($C101="","",INDEX(Area,AL101)*RentPsf*($L101/Fref)^RentElasticity)</f>
        <v/>
      </c>
      <c r="P101" s="39" t="str">
        <f>IF($C101="","",$O101+INDEX(RunOther,AL101))</f>
        <v/>
      </c>
      <c r="Q101" s="95" t="str">
        <f>IF($C101="","",$N101*ContribMargin-$P101-INDEX(LicPlan,AL101))</f>
        <v/>
      </c>
      <c r="R101" s="113" t="str">
        <f>IF($C101="","",IF(AND(AO101&gt;=$H101,AO101&gt;0),$H101/AO101,IF(AND(AO101+AP101&gt;=$H101,AP101&gt;0),1+($H101-AO101)/AP101,IF($Q101&gt;0,2+($H101-AO101-AP101)/$Q101,"Never"))))</f>
        <v/>
      </c>
      <c r="S101" s="39" t="str">
        <f>IF($C101="","",StockWeeks/52*$N101*(1-GrossMargin))</f>
        <v/>
      </c>
      <c r="U101" s="95">
        <f>IF(OR($C101="",U$21&lt;$B101),0,IF(U$21=$B101,OpenYearShare,1)*($N101*ContribMargin*IF(U$21=$B101,Ramp1,IF(U$21=$B101+1,Ramp2,1))-$P101-INDEX(LicByYear,AL101,U$21)))</f>
        <v>0</v>
      </c>
      <c r="V101" s="95">
        <f>IF(OR($C101="",V$21&lt;$B101),0,IF(V$21=$B101,OpenYearShare,1)*($N101*ContribMargin*IF(V$21=$B101,Ramp1,IF(V$21=$B101+1,Ramp2,1))-$P101-INDEX(LicByYear,AL101,V$21)))</f>
        <v>0</v>
      </c>
      <c r="W101" s="95">
        <f>IF(OR($C101="",W$21&lt;$B101),0,IF(W$21=$B101,OpenYearShare,1)*($N101*ContribMargin*IF(W$21=$B101,Ramp1,IF(W$21=$B101+1,Ramp2,1))-$P101-INDEX(LicByYear,AL101,W$21)))</f>
        <v>0</v>
      </c>
      <c r="X101" s="95">
        <f>IF(OR($C101="",X$21&lt;$B101),0,IF(X$21=$B101,OpenYearShare,1)*($N101*ContribMargin*IF(X$21=$B101,Ramp1,IF(X$21=$B101+1,Ramp2,1))-$P101-INDEX(LicByYear,AL101,X$21)))</f>
        <v>0</v>
      </c>
      <c r="Y101" s="95">
        <f>IF(OR($C101="",Y$21&lt;$B101),0,IF(Y$21=$B101,OpenYearShare,1)*($N101*ContribMargin*IF(Y$21=$B101,Ramp1,IF(Y$21=$B101+1,Ramp2,1))-$P101-INDEX(LicByYear,AL101,Y$21)))</f>
        <v>0</v>
      </c>
      <c r="Z101" s="95">
        <f>IF(OR($C101="",Z$21&lt;$B101),0,IF(Z$21=$B101,OpenYearShare,1)*($N101*ContribMargin*IF(Z$21=$B101,Ramp1,IF(Z$21=$B101+1,Ramp2,1))-$P101-INDEX(LicByYear,AL101,Z$21)))</f>
        <v>0</v>
      </c>
      <c r="AA101" s="95">
        <f>IF(OR($C101="",AA$21&lt;$B101),0,IF(AA$21=$B101,OpenYearShare,1)*($N101*ContribMargin*IF(AA$21=$B101,Ramp1,IF(AA$21=$B101+1,Ramp2,1))-$P101-INDEX(LicByYear,AL101,AA$21)))</f>
        <v>0</v>
      </c>
      <c r="AB101" s="95">
        <f>IF(OR($C101="",AB$21&lt;$B101),0,IF(AB$21=$B101,OpenYearShare,1)*($N101*ContribMargin*IF(AB$21=$B101,Ramp1,IF(AB$21=$B101+1,Ramp2,1))-$P101-INDEX(LicByYear,AL101,AB$21)))</f>
        <v>0</v>
      </c>
      <c r="AC101" s="95">
        <f>IF(OR($C101="",AC$21&lt;$B101),0,IF(AC$21=$B101,OpenYearShare,1)*($N101*ContribMargin*IF(AC$21=$B101,Ramp1,IF(AC$21=$B101+1,Ramp2,1))-$P101-INDEX(LicByYear,AL101,AC$21)))</f>
        <v>0</v>
      </c>
      <c r="AD101" s="95">
        <f>IF(OR($C101="",AD$21&lt;$B101),0,IF(AD$21=$B101,OpenYearShare,1)*($N101*ContribMargin*IF(AD$21=$B101,Ramp1,IF(AD$21=$B101+1,Ramp2,1))-$P101-INDEX(LicByYear,AL101,AD$21)))</f>
        <v>0</v>
      </c>
      <c r="AF101" s="82">
        <f>AF100+IF($C101="SPLUS",1,0)</f>
        <v>7</v>
      </c>
      <c r="AG101" s="82">
        <f>AG100+IF($C101="S",1,0)</f>
        <v>15</v>
      </c>
      <c r="AH101" s="82">
        <f>AH100+IF($C101="D",1,0)</f>
        <v>8</v>
      </c>
      <c r="AI101" s="105">
        <f>IF(OR($A101&gt;PlanStores,AF100&gt;=INDEX(Target,1)),-1000000000,INDEX(Target,1)*$A101-AF100*PlanStores)</f>
        <v>-1000000000</v>
      </c>
      <c r="AJ101" s="105">
        <f>IF(OR($A101&gt;PlanStores,AG100&gt;=INDEX(Target,2)),-1000000000,INDEX(Target,2)*$A101-AG100*PlanStores)</f>
        <v>-1000000000</v>
      </c>
      <c r="AK101" s="105">
        <f>IF(OR($A101&gt;PlanStores,AH100&gt;=INDEX(Target,3)),-1000000000,INDEX(Target,3)*$A101-AH100*PlanStores)</f>
        <v>-1000000000</v>
      </c>
      <c r="AL101" s="82" t="str">
        <f>IF($C101="","",MATCH($C101,TierCodes,0))</f>
        <v/>
      </c>
      <c r="AM101" s="82" t="str">
        <f>IF($C101="","",IF(OR(StreetChoice="Typical street for its size",INDEX(Cand,AL101)=0),"",MOD($D101-1,INDEX(Cand,AL101))+1))</f>
        <v/>
      </c>
      <c r="AN101" s="82" t="str">
        <f>IF(AM101="","",MATCH($C101&amp;"|"&amp;AM101,Melbourne!$AA$58:$AA$135,0))</f>
        <v/>
      </c>
      <c r="AO101" s="76" t="str">
        <f>IF($C101="","",Ramp1*$N101*ContribMargin-$P101-INDEX(LicPlan,AL101))</f>
        <v/>
      </c>
      <c r="AP101" s="76" t="str">
        <f>IF($C101="","",Ramp2*$N101*ContribMargin-$P101-INDEX(LicPlan,AL101))</f>
        <v/>
      </c>
      <c r="AR101" s="61" t="str">
        <f>IF($C101="","",MAX(Scale!$C$7,($D101+Scale!$C$8*($A101-$D101))^LOG(Scale!$C$6,2)))</f>
        <v/>
      </c>
      <c r="AS101" s="61" t="str">
        <f>IF($C101="","",1-IF(IF(Deal="Commit to the full plan",PlanStores,$A101)&gt;=PBAt4,Scale!$C$12,IF(IF(Deal="Commit to the full plan",PlanStores,$A101)&gt;=PBAt3,Scale!$C$11,IF(IF(Deal="Commit to the full plan",PlanStores,$A101)&gt;=PBAt2,Scale!$C$10,IF(IF(Deal="Commit to the full plan",PlanStores,$A101)&gt;=PBAt1,Scale!$C$9,0)))))</f>
        <v/>
      </c>
      <c r="AT101" s="61" t="str">
        <f>IF($C101="","",MAX(Scale!$D$7,($D101+Scale!$D$8*($A101-$D101))^LOG(Scale!$D$6,2)))</f>
        <v/>
      </c>
      <c r="AU101" s="61" t="str">
        <f>IF($C101="","",1-IF(IF(Deal="Commit to the full plan",PlanStores,$A101)&gt;=PBAt4,Scale!$D$12,IF(IF(Deal="Commit to the full plan",PlanStores,$A101)&gt;=PBAt3,Scale!$D$11,IF(IF(Deal="Commit to the full plan",PlanStores,$A101)&gt;=PBAt2,Scale!$D$10,IF(IF(Deal="Commit to the full plan",PlanStores,$A101)&gt;=PBAt1,Scale!$D$9,0)))))</f>
        <v/>
      </c>
      <c r="AV101" s="61" t="str">
        <f>IF($C101="","",MAX(Scale!$E$7,($D101+Scale!$E$8*($A101-$D101))^LOG(Scale!$E$6,2)))</f>
        <v/>
      </c>
      <c r="AW101" s="61" t="str">
        <f>IF($C101="","",1-IF(IF(Deal="Commit to the full plan",PlanStores,$A101)&gt;=PBAt4,Scale!$E$12,IF(IF(Deal="Commit to the full plan",PlanStores,$A101)&gt;=PBAt3,Scale!$E$11,IF(IF(Deal="Commit to the full plan",PlanStores,$A101)&gt;=PBAt2,Scale!$E$10,IF(IF(Deal="Commit to the full plan",PlanStores,$A101)&gt;=PBAt1,Scale!$E$9,0)))))</f>
        <v/>
      </c>
    </row>
    <row r="102">
      <c r="A102" s="110" t="n">
        <v>81</v>
      </c>
      <c r="B102" s="111" t="str">
        <f>IF($A102&gt;PlanStores,"",1+COUNTIF(CumOpenings,"&lt;"&amp;$A102))</f>
        <v/>
      </c>
      <c r="C102" s="14" t="str">
        <f>IF($A102&gt;PlanStores,"",IF(AND($A102=1,FlagshipFirst="Yes",INDEX(Target,1)&gt;0),"SPLUS",IF(AND(AI102&gt;=AJ102,AI102&gt;=AK102),"SPLUS",IF(AJ102&gt;=AK102,"S","D"))))</f>
        <v/>
      </c>
      <c r="D102" s="111" t="str">
        <f>IF($C102="","",IF($C102="SPLUS",AF102,IF($C102="S",AG102,AH102)))</f>
        <v/>
      </c>
      <c r="E102" s="112" t="str">
        <f>IF($C102="","",$D102+LearnShared*($A102-$D102))</f>
        <v/>
      </c>
      <c r="F102" s="85" t="str">
        <f>IF($C102="","",MAX(LearnFloor,$E102^LOG(LearnRate,2)))</f>
        <v/>
      </c>
      <c r="G102" s="85" t="str">
        <f>IF($C102="","",1-IF(IF(Deal="Commit to the full plan",PlanStores,$A102)&gt;=PBAt4,PBDisc4,IF(IF(Deal="Commit to the full plan",PlanStores,$A102)&gt;=PBAt3,PBDisc3,IF(IF(Deal="Commit to the full plan",PlanStores,$A102)&gt;=PBAt2,PBDisc2,IF(IF(Deal="Commit to the full plan",PlanStores,$A102)&gt;=PBAt1,PBDisc1,0)))))</f>
        <v/>
      </c>
      <c r="H102" s="39" t="str">
        <f>IF($C102="","",INDEX(BaseL,AL102)*$F102+INDEX(BaseV,AL102)*$G102+INDEX(BaseN,AL102))</f>
        <v/>
      </c>
      <c r="I102" s="39" t="str">
        <f>IF($C102="","",$H102*(1+BuildInflation)^($B102-1))</f>
        <v/>
      </c>
      <c r="J102" s="40" t="str">
        <f>IF($C102="","",IF(AN102="",IF(INDEX(Cand,AL102)=0,"No street of this size","Typical "&amp;LOWER(INDEX(TierNames,AL102))&amp;" street"),INDEX(Melbourne!$B$58:$B$135,AN102)))</f>
        <v/>
      </c>
      <c r="K102" s="40" t="str">
        <f>IF(OR($C102="",AN102=""),"",INDEX(Melbourne!$C$58:$C$135,AN102))</f>
        <v/>
      </c>
      <c r="L102" s="46" t="str">
        <f>IF($C102="","",IF(AN102="",INDEX(TypicalF,AL102),INDEX(Melbourne!$E$58:$E$135,AN102)))</f>
        <v/>
      </c>
      <c r="M102" s="86" t="str">
        <f>IF($C102="","",IF(AN102="",INDEX(TypicalQ,AL102),INDEX(Melbourne!$N$58:$N$135,AN102)))</f>
        <v/>
      </c>
      <c r="N102" s="39" t="str">
        <f>IF($C102="","",MIN($L102*Capture*$M102*Conversion*Ticket,INDEX(CapacityPsf,AL102)*INDEX(Area,AL102)))</f>
        <v/>
      </c>
      <c r="O102" s="39" t="str">
        <f>IF($C102="","",INDEX(Area,AL102)*RentPsf*($L102/Fref)^RentElasticity)</f>
        <v/>
      </c>
      <c r="P102" s="39" t="str">
        <f>IF($C102="","",$O102+INDEX(RunOther,AL102))</f>
        <v/>
      </c>
      <c r="Q102" s="95" t="str">
        <f>IF($C102="","",$N102*ContribMargin-$P102-INDEX(LicPlan,AL102))</f>
        <v/>
      </c>
      <c r="R102" s="113" t="str">
        <f>IF($C102="","",IF(AND(AO102&gt;=$H102,AO102&gt;0),$H102/AO102,IF(AND(AO102+AP102&gt;=$H102,AP102&gt;0),1+($H102-AO102)/AP102,IF($Q102&gt;0,2+($H102-AO102-AP102)/$Q102,"Never"))))</f>
        <v/>
      </c>
      <c r="S102" s="39" t="str">
        <f>IF($C102="","",StockWeeks/52*$N102*(1-GrossMargin))</f>
        <v/>
      </c>
      <c r="U102" s="95">
        <f>IF(OR($C102="",U$21&lt;$B102),0,IF(U$21=$B102,OpenYearShare,1)*($N102*ContribMargin*IF(U$21=$B102,Ramp1,IF(U$21=$B102+1,Ramp2,1))-$P102-INDEX(LicByYear,AL102,U$21)))</f>
        <v>0</v>
      </c>
      <c r="V102" s="95">
        <f>IF(OR($C102="",V$21&lt;$B102),0,IF(V$21=$B102,OpenYearShare,1)*($N102*ContribMargin*IF(V$21=$B102,Ramp1,IF(V$21=$B102+1,Ramp2,1))-$P102-INDEX(LicByYear,AL102,V$21)))</f>
        <v>0</v>
      </c>
      <c r="W102" s="95">
        <f>IF(OR($C102="",W$21&lt;$B102),0,IF(W$21=$B102,OpenYearShare,1)*($N102*ContribMargin*IF(W$21=$B102,Ramp1,IF(W$21=$B102+1,Ramp2,1))-$P102-INDEX(LicByYear,AL102,W$21)))</f>
        <v>0</v>
      </c>
      <c r="X102" s="95">
        <f>IF(OR($C102="",X$21&lt;$B102),0,IF(X$21=$B102,OpenYearShare,1)*($N102*ContribMargin*IF(X$21=$B102,Ramp1,IF(X$21=$B102+1,Ramp2,1))-$P102-INDEX(LicByYear,AL102,X$21)))</f>
        <v>0</v>
      </c>
      <c r="Y102" s="95">
        <f>IF(OR($C102="",Y$21&lt;$B102),0,IF(Y$21=$B102,OpenYearShare,1)*($N102*ContribMargin*IF(Y$21=$B102,Ramp1,IF(Y$21=$B102+1,Ramp2,1))-$P102-INDEX(LicByYear,AL102,Y$21)))</f>
        <v>0</v>
      </c>
      <c r="Z102" s="95">
        <f>IF(OR($C102="",Z$21&lt;$B102),0,IF(Z$21=$B102,OpenYearShare,1)*($N102*ContribMargin*IF(Z$21=$B102,Ramp1,IF(Z$21=$B102+1,Ramp2,1))-$P102-INDEX(LicByYear,AL102,Z$21)))</f>
        <v>0</v>
      </c>
      <c r="AA102" s="95">
        <f>IF(OR($C102="",AA$21&lt;$B102),0,IF(AA$21=$B102,OpenYearShare,1)*($N102*ContribMargin*IF(AA$21=$B102,Ramp1,IF(AA$21=$B102+1,Ramp2,1))-$P102-INDEX(LicByYear,AL102,AA$21)))</f>
        <v>0</v>
      </c>
      <c r="AB102" s="95">
        <f>IF(OR($C102="",AB$21&lt;$B102),0,IF(AB$21=$B102,OpenYearShare,1)*($N102*ContribMargin*IF(AB$21=$B102,Ramp1,IF(AB$21=$B102+1,Ramp2,1))-$P102-INDEX(LicByYear,AL102,AB$21)))</f>
        <v>0</v>
      </c>
      <c r="AC102" s="95">
        <f>IF(OR($C102="",AC$21&lt;$B102),0,IF(AC$21=$B102,OpenYearShare,1)*($N102*ContribMargin*IF(AC$21=$B102,Ramp1,IF(AC$21=$B102+1,Ramp2,1))-$P102-INDEX(LicByYear,AL102,AC$21)))</f>
        <v>0</v>
      </c>
      <c r="AD102" s="95">
        <f>IF(OR($C102="",AD$21&lt;$B102),0,IF(AD$21=$B102,OpenYearShare,1)*($N102*ContribMargin*IF(AD$21=$B102,Ramp1,IF(AD$21=$B102+1,Ramp2,1))-$P102-INDEX(LicByYear,AL102,AD$21)))</f>
        <v>0</v>
      </c>
      <c r="AF102" s="82">
        <f>AF101+IF($C102="SPLUS",1,0)</f>
        <v>7</v>
      </c>
      <c r="AG102" s="82">
        <f>AG101+IF($C102="S",1,0)</f>
        <v>15</v>
      </c>
      <c r="AH102" s="82">
        <f>AH101+IF($C102="D",1,0)</f>
        <v>8</v>
      </c>
      <c r="AI102" s="105">
        <f>IF(OR($A102&gt;PlanStores,AF101&gt;=INDEX(Target,1)),-1000000000,INDEX(Target,1)*$A102-AF101*PlanStores)</f>
        <v>-1000000000</v>
      </c>
      <c r="AJ102" s="105">
        <f>IF(OR($A102&gt;PlanStores,AG101&gt;=INDEX(Target,2)),-1000000000,INDEX(Target,2)*$A102-AG101*PlanStores)</f>
        <v>-1000000000</v>
      </c>
      <c r="AK102" s="105">
        <f>IF(OR($A102&gt;PlanStores,AH101&gt;=INDEX(Target,3)),-1000000000,INDEX(Target,3)*$A102-AH101*PlanStores)</f>
        <v>-1000000000</v>
      </c>
      <c r="AL102" s="82" t="str">
        <f>IF($C102="","",MATCH($C102,TierCodes,0))</f>
        <v/>
      </c>
      <c r="AM102" s="82" t="str">
        <f>IF($C102="","",IF(OR(StreetChoice="Typical street for its size",INDEX(Cand,AL102)=0),"",MOD($D102-1,INDEX(Cand,AL102))+1))</f>
        <v/>
      </c>
      <c r="AN102" s="82" t="str">
        <f>IF(AM102="","",MATCH($C102&amp;"|"&amp;AM102,Melbourne!$AA$58:$AA$135,0))</f>
        <v/>
      </c>
      <c r="AO102" s="76" t="str">
        <f>IF($C102="","",Ramp1*$N102*ContribMargin-$P102-INDEX(LicPlan,AL102))</f>
        <v/>
      </c>
      <c r="AP102" s="76" t="str">
        <f>IF($C102="","",Ramp2*$N102*ContribMargin-$P102-INDEX(LicPlan,AL102))</f>
        <v/>
      </c>
      <c r="AR102" s="61" t="str">
        <f>IF($C102="","",MAX(Scale!$C$7,($D102+Scale!$C$8*($A102-$D102))^LOG(Scale!$C$6,2)))</f>
        <v/>
      </c>
      <c r="AS102" s="61" t="str">
        <f>IF($C102="","",1-IF(IF(Deal="Commit to the full plan",PlanStores,$A102)&gt;=PBAt4,Scale!$C$12,IF(IF(Deal="Commit to the full plan",PlanStores,$A102)&gt;=PBAt3,Scale!$C$11,IF(IF(Deal="Commit to the full plan",PlanStores,$A102)&gt;=PBAt2,Scale!$C$10,IF(IF(Deal="Commit to the full plan",PlanStores,$A102)&gt;=PBAt1,Scale!$C$9,0)))))</f>
        <v/>
      </c>
      <c r="AT102" s="61" t="str">
        <f>IF($C102="","",MAX(Scale!$D$7,($D102+Scale!$D$8*($A102-$D102))^LOG(Scale!$D$6,2)))</f>
        <v/>
      </c>
      <c r="AU102" s="61" t="str">
        <f>IF($C102="","",1-IF(IF(Deal="Commit to the full plan",PlanStores,$A102)&gt;=PBAt4,Scale!$D$12,IF(IF(Deal="Commit to the full plan",PlanStores,$A102)&gt;=PBAt3,Scale!$D$11,IF(IF(Deal="Commit to the full plan",PlanStores,$A102)&gt;=PBAt2,Scale!$D$10,IF(IF(Deal="Commit to the full plan",PlanStores,$A102)&gt;=PBAt1,Scale!$D$9,0)))))</f>
        <v/>
      </c>
      <c r="AV102" s="61" t="str">
        <f>IF($C102="","",MAX(Scale!$E$7,($D102+Scale!$E$8*($A102-$D102))^LOG(Scale!$E$6,2)))</f>
        <v/>
      </c>
      <c r="AW102" s="61" t="str">
        <f>IF($C102="","",1-IF(IF(Deal="Commit to the full plan",PlanStores,$A102)&gt;=PBAt4,Scale!$E$12,IF(IF(Deal="Commit to the full plan",PlanStores,$A102)&gt;=PBAt3,Scale!$E$11,IF(IF(Deal="Commit to the full plan",PlanStores,$A102)&gt;=PBAt2,Scale!$E$10,IF(IF(Deal="Commit to the full plan",PlanStores,$A102)&gt;=PBAt1,Scale!$E$9,0)))))</f>
        <v/>
      </c>
    </row>
    <row r="103">
      <c r="A103" s="110" t="n">
        <v>82</v>
      </c>
      <c r="B103" s="111" t="str">
        <f>IF($A103&gt;PlanStores,"",1+COUNTIF(CumOpenings,"&lt;"&amp;$A103))</f>
        <v/>
      </c>
      <c r="C103" s="14" t="str">
        <f>IF($A103&gt;PlanStores,"",IF(AND($A103=1,FlagshipFirst="Yes",INDEX(Target,1)&gt;0),"SPLUS",IF(AND(AI103&gt;=AJ103,AI103&gt;=AK103),"SPLUS",IF(AJ103&gt;=AK103,"S","D"))))</f>
        <v/>
      </c>
      <c r="D103" s="111" t="str">
        <f>IF($C103="","",IF($C103="SPLUS",AF103,IF($C103="S",AG103,AH103)))</f>
        <v/>
      </c>
      <c r="E103" s="112" t="str">
        <f>IF($C103="","",$D103+LearnShared*($A103-$D103))</f>
        <v/>
      </c>
      <c r="F103" s="85" t="str">
        <f>IF($C103="","",MAX(LearnFloor,$E103^LOG(LearnRate,2)))</f>
        <v/>
      </c>
      <c r="G103" s="85" t="str">
        <f>IF($C103="","",1-IF(IF(Deal="Commit to the full plan",PlanStores,$A103)&gt;=PBAt4,PBDisc4,IF(IF(Deal="Commit to the full plan",PlanStores,$A103)&gt;=PBAt3,PBDisc3,IF(IF(Deal="Commit to the full plan",PlanStores,$A103)&gt;=PBAt2,PBDisc2,IF(IF(Deal="Commit to the full plan",PlanStores,$A103)&gt;=PBAt1,PBDisc1,0)))))</f>
        <v/>
      </c>
      <c r="H103" s="39" t="str">
        <f>IF($C103="","",INDEX(BaseL,AL103)*$F103+INDEX(BaseV,AL103)*$G103+INDEX(BaseN,AL103))</f>
        <v/>
      </c>
      <c r="I103" s="39" t="str">
        <f>IF($C103="","",$H103*(1+BuildInflation)^($B103-1))</f>
        <v/>
      </c>
      <c r="J103" s="40" t="str">
        <f>IF($C103="","",IF(AN103="",IF(INDEX(Cand,AL103)=0,"No street of this size","Typical "&amp;LOWER(INDEX(TierNames,AL103))&amp;" street"),INDEX(Melbourne!$B$58:$B$135,AN103)))</f>
        <v/>
      </c>
      <c r="K103" s="40" t="str">
        <f>IF(OR($C103="",AN103=""),"",INDEX(Melbourne!$C$58:$C$135,AN103))</f>
        <v/>
      </c>
      <c r="L103" s="46" t="str">
        <f>IF($C103="","",IF(AN103="",INDEX(TypicalF,AL103),INDEX(Melbourne!$E$58:$E$135,AN103)))</f>
        <v/>
      </c>
      <c r="M103" s="86" t="str">
        <f>IF($C103="","",IF(AN103="",INDEX(TypicalQ,AL103),INDEX(Melbourne!$N$58:$N$135,AN103)))</f>
        <v/>
      </c>
      <c r="N103" s="39" t="str">
        <f>IF($C103="","",MIN($L103*Capture*$M103*Conversion*Ticket,INDEX(CapacityPsf,AL103)*INDEX(Area,AL103)))</f>
        <v/>
      </c>
      <c r="O103" s="39" t="str">
        <f>IF($C103="","",INDEX(Area,AL103)*RentPsf*($L103/Fref)^RentElasticity)</f>
        <v/>
      </c>
      <c r="P103" s="39" t="str">
        <f>IF($C103="","",$O103+INDEX(RunOther,AL103))</f>
        <v/>
      </c>
      <c r="Q103" s="95" t="str">
        <f>IF($C103="","",$N103*ContribMargin-$P103-INDEX(LicPlan,AL103))</f>
        <v/>
      </c>
      <c r="R103" s="113" t="str">
        <f>IF($C103="","",IF(AND(AO103&gt;=$H103,AO103&gt;0),$H103/AO103,IF(AND(AO103+AP103&gt;=$H103,AP103&gt;0),1+($H103-AO103)/AP103,IF($Q103&gt;0,2+($H103-AO103-AP103)/$Q103,"Never"))))</f>
        <v/>
      </c>
      <c r="S103" s="39" t="str">
        <f>IF($C103="","",StockWeeks/52*$N103*(1-GrossMargin))</f>
        <v/>
      </c>
      <c r="U103" s="95">
        <f>IF(OR($C103="",U$21&lt;$B103),0,IF(U$21=$B103,OpenYearShare,1)*($N103*ContribMargin*IF(U$21=$B103,Ramp1,IF(U$21=$B103+1,Ramp2,1))-$P103-INDEX(LicByYear,AL103,U$21)))</f>
        <v>0</v>
      </c>
      <c r="V103" s="95">
        <f>IF(OR($C103="",V$21&lt;$B103),0,IF(V$21=$B103,OpenYearShare,1)*($N103*ContribMargin*IF(V$21=$B103,Ramp1,IF(V$21=$B103+1,Ramp2,1))-$P103-INDEX(LicByYear,AL103,V$21)))</f>
        <v>0</v>
      </c>
      <c r="W103" s="95">
        <f>IF(OR($C103="",W$21&lt;$B103),0,IF(W$21=$B103,OpenYearShare,1)*($N103*ContribMargin*IF(W$21=$B103,Ramp1,IF(W$21=$B103+1,Ramp2,1))-$P103-INDEX(LicByYear,AL103,W$21)))</f>
        <v>0</v>
      </c>
      <c r="X103" s="95">
        <f>IF(OR($C103="",X$21&lt;$B103),0,IF(X$21=$B103,OpenYearShare,1)*($N103*ContribMargin*IF(X$21=$B103,Ramp1,IF(X$21=$B103+1,Ramp2,1))-$P103-INDEX(LicByYear,AL103,X$21)))</f>
        <v>0</v>
      </c>
      <c r="Y103" s="95">
        <f>IF(OR($C103="",Y$21&lt;$B103),0,IF(Y$21=$B103,OpenYearShare,1)*($N103*ContribMargin*IF(Y$21=$B103,Ramp1,IF(Y$21=$B103+1,Ramp2,1))-$P103-INDEX(LicByYear,AL103,Y$21)))</f>
        <v>0</v>
      </c>
      <c r="Z103" s="95">
        <f>IF(OR($C103="",Z$21&lt;$B103),0,IF(Z$21=$B103,OpenYearShare,1)*($N103*ContribMargin*IF(Z$21=$B103,Ramp1,IF(Z$21=$B103+1,Ramp2,1))-$P103-INDEX(LicByYear,AL103,Z$21)))</f>
        <v>0</v>
      </c>
      <c r="AA103" s="95">
        <f>IF(OR($C103="",AA$21&lt;$B103),0,IF(AA$21=$B103,OpenYearShare,1)*($N103*ContribMargin*IF(AA$21=$B103,Ramp1,IF(AA$21=$B103+1,Ramp2,1))-$P103-INDEX(LicByYear,AL103,AA$21)))</f>
        <v>0</v>
      </c>
      <c r="AB103" s="95">
        <f>IF(OR($C103="",AB$21&lt;$B103),0,IF(AB$21=$B103,OpenYearShare,1)*($N103*ContribMargin*IF(AB$21=$B103,Ramp1,IF(AB$21=$B103+1,Ramp2,1))-$P103-INDEX(LicByYear,AL103,AB$21)))</f>
        <v>0</v>
      </c>
      <c r="AC103" s="95">
        <f>IF(OR($C103="",AC$21&lt;$B103),0,IF(AC$21=$B103,OpenYearShare,1)*($N103*ContribMargin*IF(AC$21=$B103,Ramp1,IF(AC$21=$B103+1,Ramp2,1))-$P103-INDEX(LicByYear,AL103,AC$21)))</f>
        <v>0</v>
      </c>
      <c r="AD103" s="95">
        <f>IF(OR($C103="",AD$21&lt;$B103),0,IF(AD$21=$B103,OpenYearShare,1)*($N103*ContribMargin*IF(AD$21=$B103,Ramp1,IF(AD$21=$B103+1,Ramp2,1))-$P103-INDEX(LicByYear,AL103,AD$21)))</f>
        <v>0</v>
      </c>
      <c r="AF103" s="82">
        <f>AF102+IF($C103="SPLUS",1,0)</f>
        <v>7</v>
      </c>
      <c r="AG103" s="82">
        <f>AG102+IF($C103="S",1,0)</f>
        <v>15</v>
      </c>
      <c r="AH103" s="82">
        <f>AH102+IF($C103="D",1,0)</f>
        <v>8</v>
      </c>
      <c r="AI103" s="105">
        <f>IF(OR($A103&gt;PlanStores,AF102&gt;=INDEX(Target,1)),-1000000000,INDEX(Target,1)*$A103-AF102*PlanStores)</f>
        <v>-1000000000</v>
      </c>
      <c r="AJ103" s="105">
        <f>IF(OR($A103&gt;PlanStores,AG102&gt;=INDEX(Target,2)),-1000000000,INDEX(Target,2)*$A103-AG102*PlanStores)</f>
        <v>-1000000000</v>
      </c>
      <c r="AK103" s="105">
        <f>IF(OR($A103&gt;PlanStores,AH102&gt;=INDEX(Target,3)),-1000000000,INDEX(Target,3)*$A103-AH102*PlanStores)</f>
        <v>-1000000000</v>
      </c>
      <c r="AL103" s="82" t="str">
        <f>IF($C103="","",MATCH($C103,TierCodes,0))</f>
        <v/>
      </c>
      <c r="AM103" s="82" t="str">
        <f>IF($C103="","",IF(OR(StreetChoice="Typical street for its size",INDEX(Cand,AL103)=0),"",MOD($D103-1,INDEX(Cand,AL103))+1))</f>
        <v/>
      </c>
      <c r="AN103" s="82" t="str">
        <f>IF(AM103="","",MATCH($C103&amp;"|"&amp;AM103,Melbourne!$AA$58:$AA$135,0))</f>
        <v/>
      </c>
      <c r="AO103" s="76" t="str">
        <f>IF($C103="","",Ramp1*$N103*ContribMargin-$P103-INDEX(LicPlan,AL103))</f>
        <v/>
      </c>
      <c r="AP103" s="76" t="str">
        <f>IF($C103="","",Ramp2*$N103*ContribMargin-$P103-INDEX(LicPlan,AL103))</f>
        <v/>
      </c>
      <c r="AR103" s="61" t="str">
        <f>IF($C103="","",MAX(Scale!$C$7,($D103+Scale!$C$8*($A103-$D103))^LOG(Scale!$C$6,2)))</f>
        <v/>
      </c>
      <c r="AS103" s="61" t="str">
        <f>IF($C103="","",1-IF(IF(Deal="Commit to the full plan",PlanStores,$A103)&gt;=PBAt4,Scale!$C$12,IF(IF(Deal="Commit to the full plan",PlanStores,$A103)&gt;=PBAt3,Scale!$C$11,IF(IF(Deal="Commit to the full plan",PlanStores,$A103)&gt;=PBAt2,Scale!$C$10,IF(IF(Deal="Commit to the full plan",PlanStores,$A103)&gt;=PBAt1,Scale!$C$9,0)))))</f>
        <v/>
      </c>
      <c r="AT103" s="61" t="str">
        <f>IF($C103="","",MAX(Scale!$D$7,($D103+Scale!$D$8*($A103-$D103))^LOG(Scale!$D$6,2)))</f>
        <v/>
      </c>
      <c r="AU103" s="61" t="str">
        <f>IF($C103="","",1-IF(IF(Deal="Commit to the full plan",PlanStores,$A103)&gt;=PBAt4,Scale!$D$12,IF(IF(Deal="Commit to the full plan",PlanStores,$A103)&gt;=PBAt3,Scale!$D$11,IF(IF(Deal="Commit to the full plan",PlanStores,$A103)&gt;=PBAt2,Scale!$D$10,IF(IF(Deal="Commit to the full plan",PlanStores,$A103)&gt;=PBAt1,Scale!$D$9,0)))))</f>
        <v/>
      </c>
      <c r="AV103" s="61" t="str">
        <f>IF($C103="","",MAX(Scale!$E$7,($D103+Scale!$E$8*($A103-$D103))^LOG(Scale!$E$6,2)))</f>
        <v/>
      </c>
      <c r="AW103" s="61" t="str">
        <f>IF($C103="","",1-IF(IF(Deal="Commit to the full plan",PlanStores,$A103)&gt;=PBAt4,Scale!$E$12,IF(IF(Deal="Commit to the full plan",PlanStores,$A103)&gt;=PBAt3,Scale!$E$11,IF(IF(Deal="Commit to the full plan",PlanStores,$A103)&gt;=PBAt2,Scale!$E$10,IF(IF(Deal="Commit to the full plan",PlanStores,$A103)&gt;=PBAt1,Scale!$E$9,0)))))</f>
        <v/>
      </c>
    </row>
    <row r="104">
      <c r="A104" s="110" t="n">
        <v>83</v>
      </c>
      <c r="B104" s="111" t="str">
        <f>IF($A104&gt;PlanStores,"",1+COUNTIF(CumOpenings,"&lt;"&amp;$A104))</f>
        <v/>
      </c>
      <c r="C104" s="14" t="str">
        <f>IF($A104&gt;PlanStores,"",IF(AND($A104=1,FlagshipFirst="Yes",INDEX(Target,1)&gt;0),"SPLUS",IF(AND(AI104&gt;=AJ104,AI104&gt;=AK104),"SPLUS",IF(AJ104&gt;=AK104,"S","D"))))</f>
        <v/>
      </c>
      <c r="D104" s="111" t="str">
        <f>IF($C104="","",IF($C104="SPLUS",AF104,IF($C104="S",AG104,AH104)))</f>
        <v/>
      </c>
      <c r="E104" s="112" t="str">
        <f>IF($C104="","",$D104+LearnShared*($A104-$D104))</f>
        <v/>
      </c>
      <c r="F104" s="85" t="str">
        <f>IF($C104="","",MAX(LearnFloor,$E104^LOG(LearnRate,2)))</f>
        <v/>
      </c>
      <c r="G104" s="85" t="str">
        <f>IF($C104="","",1-IF(IF(Deal="Commit to the full plan",PlanStores,$A104)&gt;=PBAt4,PBDisc4,IF(IF(Deal="Commit to the full plan",PlanStores,$A104)&gt;=PBAt3,PBDisc3,IF(IF(Deal="Commit to the full plan",PlanStores,$A104)&gt;=PBAt2,PBDisc2,IF(IF(Deal="Commit to the full plan",PlanStores,$A104)&gt;=PBAt1,PBDisc1,0)))))</f>
        <v/>
      </c>
      <c r="H104" s="39" t="str">
        <f>IF($C104="","",INDEX(BaseL,AL104)*$F104+INDEX(BaseV,AL104)*$G104+INDEX(BaseN,AL104))</f>
        <v/>
      </c>
      <c r="I104" s="39" t="str">
        <f>IF($C104="","",$H104*(1+BuildInflation)^($B104-1))</f>
        <v/>
      </c>
      <c r="J104" s="40" t="str">
        <f>IF($C104="","",IF(AN104="",IF(INDEX(Cand,AL104)=0,"No street of this size","Typical "&amp;LOWER(INDEX(TierNames,AL104))&amp;" street"),INDEX(Melbourne!$B$58:$B$135,AN104)))</f>
        <v/>
      </c>
      <c r="K104" s="40" t="str">
        <f>IF(OR($C104="",AN104=""),"",INDEX(Melbourne!$C$58:$C$135,AN104))</f>
        <v/>
      </c>
      <c r="L104" s="46" t="str">
        <f>IF($C104="","",IF(AN104="",INDEX(TypicalF,AL104),INDEX(Melbourne!$E$58:$E$135,AN104)))</f>
        <v/>
      </c>
      <c r="M104" s="86" t="str">
        <f>IF($C104="","",IF(AN104="",INDEX(TypicalQ,AL104),INDEX(Melbourne!$N$58:$N$135,AN104)))</f>
        <v/>
      </c>
      <c r="N104" s="39" t="str">
        <f>IF($C104="","",MIN($L104*Capture*$M104*Conversion*Ticket,INDEX(CapacityPsf,AL104)*INDEX(Area,AL104)))</f>
        <v/>
      </c>
      <c r="O104" s="39" t="str">
        <f>IF($C104="","",INDEX(Area,AL104)*RentPsf*($L104/Fref)^RentElasticity)</f>
        <v/>
      </c>
      <c r="P104" s="39" t="str">
        <f>IF($C104="","",$O104+INDEX(RunOther,AL104))</f>
        <v/>
      </c>
      <c r="Q104" s="95" t="str">
        <f>IF($C104="","",$N104*ContribMargin-$P104-INDEX(LicPlan,AL104))</f>
        <v/>
      </c>
      <c r="R104" s="113" t="str">
        <f>IF($C104="","",IF(AND(AO104&gt;=$H104,AO104&gt;0),$H104/AO104,IF(AND(AO104+AP104&gt;=$H104,AP104&gt;0),1+($H104-AO104)/AP104,IF($Q104&gt;0,2+($H104-AO104-AP104)/$Q104,"Never"))))</f>
        <v/>
      </c>
      <c r="S104" s="39" t="str">
        <f>IF($C104="","",StockWeeks/52*$N104*(1-GrossMargin))</f>
        <v/>
      </c>
      <c r="U104" s="95">
        <f>IF(OR($C104="",U$21&lt;$B104),0,IF(U$21=$B104,OpenYearShare,1)*($N104*ContribMargin*IF(U$21=$B104,Ramp1,IF(U$21=$B104+1,Ramp2,1))-$P104-INDEX(LicByYear,AL104,U$21)))</f>
        <v>0</v>
      </c>
      <c r="V104" s="95">
        <f>IF(OR($C104="",V$21&lt;$B104),0,IF(V$21=$B104,OpenYearShare,1)*($N104*ContribMargin*IF(V$21=$B104,Ramp1,IF(V$21=$B104+1,Ramp2,1))-$P104-INDEX(LicByYear,AL104,V$21)))</f>
        <v>0</v>
      </c>
      <c r="W104" s="95">
        <f>IF(OR($C104="",W$21&lt;$B104),0,IF(W$21=$B104,OpenYearShare,1)*($N104*ContribMargin*IF(W$21=$B104,Ramp1,IF(W$21=$B104+1,Ramp2,1))-$P104-INDEX(LicByYear,AL104,W$21)))</f>
        <v>0</v>
      </c>
      <c r="X104" s="95">
        <f>IF(OR($C104="",X$21&lt;$B104),0,IF(X$21=$B104,OpenYearShare,1)*($N104*ContribMargin*IF(X$21=$B104,Ramp1,IF(X$21=$B104+1,Ramp2,1))-$P104-INDEX(LicByYear,AL104,X$21)))</f>
        <v>0</v>
      </c>
      <c r="Y104" s="95">
        <f>IF(OR($C104="",Y$21&lt;$B104),0,IF(Y$21=$B104,OpenYearShare,1)*($N104*ContribMargin*IF(Y$21=$B104,Ramp1,IF(Y$21=$B104+1,Ramp2,1))-$P104-INDEX(LicByYear,AL104,Y$21)))</f>
        <v>0</v>
      </c>
      <c r="Z104" s="95">
        <f>IF(OR($C104="",Z$21&lt;$B104),0,IF(Z$21=$B104,OpenYearShare,1)*($N104*ContribMargin*IF(Z$21=$B104,Ramp1,IF(Z$21=$B104+1,Ramp2,1))-$P104-INDEX(LicByYear,AL104,Z$21)))</f>
        <v>0</v>
      </c>
      <c r="AA104" s="95">
        <f>IF(OR($C104="",AA$21&lt;$B104),0,IF(AA$21=$B104,OpenYearShare,1)*($N104*ContribMargin*IF(AA$21=$B104,Ramp1,IF(AA$21=$B104+1,Ramp2,1))-$P104-INDEX(LicByYear,AL104,AA$21)))</f>
        <v>0</v>
      </c>
      <c r="AB104" s="95">
        <f>IF(OR($C104="",AB$21&lt;$B104),0,IF(AB$21=$B104,OpenYearShare,1)*($N104*ContribMargin*IF(AB$21=$B104,Ramp1,IF(AB$21=$B104+1,Ramp2,1))-$P104-INDEX(LicByYear,AL104,AB$21)))</f>
        <v>0</v>
      </c>
      <c r="AC104" s="95">
        <f>IF(OR($C104="",AC$21&lt;$B104),0,IF(AC$21=$B104,OpenYearShare,1)*($N104*ContribMargin*IF(AC$21=$B104,Ramp1,IF(AC$21=$B104+1,Ramp2,1))-$P104-INDEX(LicByYear,AL104,AC$21)))</f>
        <v>0</v>
      </c>
      <c r="AD104" s="95">
        <f>IF(OR($C104="",AD$21&lt;$B104),0,IF(AD$21=$B104,OpenYearShare,1)*($N104*ContribMargin*IF(AD$21=$B104,Ramp1,IF(AD$21=$B104+1,Ramp2,1))-$P104-INDEX(LicByYear,AL104,AD$21)))</f>
        <v>0</v>
      </c>
      <c r="AF104" s="82">
        <f>AF103+IF($C104="SPLUS",1,0)</f>
        <v>7</v>
      </c>
      <c r="AG104" s="82">
        <f>AG103+IF($C104="S",1,0)</f>
        <v>15</v>
      </c>
      <c r="AH104" s="82">
        <f>AH103+IF($C104="D",1,0)</f>
        <v>8</v>
      </c>
      <c r="AI104" s="105">
        <f>IF(OR($A104&gt;PlanStores,AF103&gt;=INDEX(Target,1)),-1000000000,INDEX(Target,1)*$A104-AF103*PlanStores)</f>
        <v>-1000000000</v>
      </c>
      <c r="AJ104" s="105">
        <f>IF(OR($A104&gt;PlanStores,AG103&gt;=INDEX(Target,2)),-1000000000,INDEX(Target,2)*$A104-AG103*PlanStores)</f>
        <v>-1000000000</v>
      </c>
      <c r="AK104" s="105">
        <f>IF(OR($A104&gt;PlanStores,AH103&gt;=INDEX(Target,3)),-1000000000,INDEX(Target,3)*$A104-AH103*PlanStores)</f>
        <v>-1000000000</v>
      </c>
      <c r="AL104" s="82" t="str">
        <f>IF($C104="","",MATCH($C104,TierCodes,0))</f>
        <v/>
      </c>
      <c r="AM104" s="82" t="str">
        <f>IF($C104="","",IF(OR(StreetChoice="Typical street for its size",INDEX(Cand,AL104)=0),"",MOD($D104-1,INDEX(Cand,AL104))+1))</f>
        <v/>
      </c>
      <c r="AN104" s="82" t="str">
        <f>IF(AM104="","",MATCH($C104&amp;"|"&amp;AM104,Melbourne!$AA$58:$AA$135,0))</f>
        <v/>
      </c>
      <c r="AO104" s="76" t="str">
        <f>IF($C104="","",Ramp1*$N104*ContribMargin-$P104-INDEX(LicPlan,AL104))</f>
        <v/>
      </c>
      <c r="AP104" s="76" t="str">
        <f>IF($C104="","",Ramp2*$N104*ContribMargin-$P104-INDEX(LicPlan,AL104))</f>
        <v/>
      </c>
      <c r="AR104" s="61" t="str">
        <f>IF($C104="","",MAX(Scale!$C$7,($D104+Scale!$C$8*($A104-$D104))^LOG(Scale!$C$6,2)))</f>
        <v/>
      </c>
      <c r="AS104" s="61" t="str">
        <f>IF($C104="","",1-IF(IF(Deal="Commit to the full plan",PlanStores,$A104)&gt;=PBAt4,Scale!$C$12,IF(IF(Deal="Commit to the full plan",PlanStores,$A104)&gt;=PBAt3,Scale!$C$11,IF(IF(Deal="Commit to the full plan",PlanStores,$A104)&gt;=PBAt2,Scale!$C$10,IF(IF(Deal="Commit to the full plan",PlanStores,$A104)&gt;=PBAt1,Scale!$C$9,0)))))</f>
        <v/>
      </c>
      <c r="AT104" s="61" t="str">
        <f>IF($C104="","",MAX(Scale!$D$7,($D104+Scale!$D$8*($A104-$D104))^LOG(Scale!$D$6,2)))</f>
        <v/>
      </c>
      <c r="AU104" s="61" t="str">
        <f>IF($C104="","",1-IF(IF(Deal="Commit to the full plan",PlanStores,$A104)&gt;=PBAt4,Scale!$D$12,IF(IF(Deal="Commit to the full plan",PlanStores,$A104)&gt;=PBAt3,Scale!$D$11,IF(IF(Deal="Commit to the full plan",PlanStores,$A104)&gt;=PBAt2,Scale!$D$10,IF(IF(Deal="Commit to the full plan",PlanStores,$A104)&gt;=PBAt1,Scale!$D$9,0)))))</f>
        <v/>
      </c>
      <c r="AV104" s="61" t="str">
        <f>IF($C104="","",MAX(Scale!$E$7,($D104+Scale!$E$8*($A104-$D104))^LOG(Scale!$E$6,2)))</f>
        <v/>
      </c>
      <c r="AW104" s="61" t="str">
        <f>IF($C104="","",1-IF(IF(Deal="Commit to the full plan",PlanStores,$A104)&gt;=PBAt4,Scale!$E$12,IF(IF(Deal="Commit to the full plan",PlanStores,$A104)&gt;=PBAt3,Scale!$E$11,IF(IF(Deal="Commit to the full plan",PlanStores,$A104)&gt;=PBAt2,Scale!$E$10,IF(IF(Deal="Commit to the full plan",PlanStores,$A104)&gt;=PBAt1,Scale!$E$9,0)))))</f>
        <v/>
      </c>
    </row>
    <row r="105">
      <c r="A105" s="110" t="n">
        <v>84</v>
      </c>
      <c r="B105" s="111" t="str">
        <f>IF($A105&gt;PlanStores,"",1+COUNTIF(CumOpenings,"&lt;"&amp;$A105))</f>
        <v/>
      </c>
      <c r="C105" s="14" t="str">
        <f>IF($A105&gt;PlanStores,"",IF(AND($A105=1,FlagshipFirst="Yes",INDEX(Target,1)&gt;0),"SPLUS",IF(AND(AI105&gt;=AJ105,AI105&gt;=AK105),"SPLUS",IF(AJ105&gt;=AK105,"S","D"))))</f>
        <v/>
      </c>
      <c r="D105" s="111" t="str">
        <f>IF($C105="","",IF($C105="SPLUS",AF105,IF($C105="S",AG105,AH105)))</f>
        <v/>
      </c>
      <c r="E105" s="112" t="str">
        <f>IF($C105="","",$D105+LearnShared*($A105-$D105))</f>
        <v/>
      </c>
      <c r="F105" s="85" t="str">
        <f>IF($C105="","",MAX(LearnFloor,$E105^LOG(LearnRate,2)))</f>
        <v/>
      </c>
      <c r="G105" s="85" t="str">
        <f>IF($C105="","",1-IF(IF(Deal="Commit to the full plan",PlanStores,$A105)&gt;=PBAt4,PBDisc4,IF(IF(Deal="Commit to the full plan",PlanStores,$A105)&gt;=PBAt3,PBDisc3,IF(IF(Deal="Commit to the full plan",PlanStores,$A105)&gt;=PBAt2,PBDisc2,IF(IF(Deal="Commit to the full plan",PlanStores,$A105)&gt;=PBAt1,PBDisc1,0)))))</f>
        <v/>
      </c>
      <c r="H105" s="39" t="str">
        <f>IF($C105="","",INDEX(BaseL,AL105)*$F105+INDEX(BaseV,AL105)*$G105+INDEX(BaseN,AL105))</f>
        <v/>
      </c>
      <c r="I105" s="39" t="str">
        <f>IF($C105="","",$H105*(1+BuildInflation)^($B105-1))</f>
        <v/>
      </c>
      <c r="J105" s="40" t="str">
        <f>IF($C105="","",IF(AN105="",IF(INDEX(Cand,AL105)=0,"No street of this size","Typical "&amp;LOWER(INDEX(TierNames,AL105))&amp;" street"),INDEX(Melbourne!$B$58:$B$135,AN105)))</f>
        <v/>
      </c>
      <c r="K105" s="40" t="str">
        <f>IF(OR($C105="",AN105=""),"",INDEX(Melbourne!$C$58:$C$135,AN105))</f>
        <v/>
      </c>
      <c r="L105" s="46" t="str">
        <f>IF($C105="","",IF(AN105="",INDEX(TypicalF,AL105),INDEX(Melbourne!$E$58:$E$135,AN105)))</f>
        <v/>
      </c>
      <c r="M105" s="86" t="str">
        <f>IF($C105="","",IF(AN105="",INDEX(TypicalQ,AL105),INDEX(Melbourne!$N$58:$N$135,AN105)))</f>
        <v/>
      </c>
      <c r="N105" s="39" t="str">
        <f>IF($C105="","",MIN($L105*Capture*$M105*Conversion*Ticket,INDEX(CapacityPsf,AL105)*INDEX(Area,AL105)))</f>
        <v/>
      </c>
      <c r="O105" s="39" t="str">
        <f>IF($C105="","",INDEX(Area,AL105)*RentPsf*($L105/Fref)^RentElasticity)</f>
        <v/>
      </c>
      <c r="P105" s="39" t="str">
        <f>IF($C105="","",$O105+INDEX(RunOther,AL105))</f>
        <v/>
      </c>
      <c r="Q105" s="95" t="str">
        <f>IF($C105="","",$N105*ContribMargin-$P105-INDEX(LicPlan,AL105))</f>
        <v/>
      </c>
      <c r="R105" s="113" t="str">
        <f>IF($C105="","",IF(AND(AO105&gt;=$H105,AO105&gt;0),$H105/AO105,IF(AND(AO105+AP105&gt;=$H105,AP105&gt;0),1+($H105-AO105)/AP105,IF($Q105&gt;0,2+($H105-AO105-AP105)/$Q105,"Never"))))</f>
        <v/>
      </c>
      <c r="S105" s="39" t="str">
        <f>IF($C105="","",StockWeeks/52*$N105*(1-GrossMargin))</f>
        <v/>
      </c>
      <c r="U105" s="95">
        <f>IF(OR($C105="",U$21&lt;$B105),0,IF(U$21=$B105,OpenYearShare,1)*($N105*ContribMargin*IF(U$21=$B105,Ramp1,IF(U$21=$B105+1,Ramp2,1))-$P105-INDEX(LicByYear,AL105,U$21)))</f>
        <v>0</v>
      </c>
      <c r="V105" s="95">
        <f>IF(OR($C105="",V$21&lt;$B105),0,IF(V$21=$B105,OpenYearShare,1)*($N105*ContribMargin*IF(V$21=$B105,Ramp1,IF(V$21=$B105+1,Ramp2,1))-$P105-INDEX(LicByYear,AL105,V$21)))</f>
        <v>0</v>
      </c>
      <c r="W105" s="95">
        <f>IF(OR($C105="",W$21&lt;$B105),0,IF(W$21=$B105,OpenYearShare,1)*($N105*ContribMargin*IF(W$21=$B105,Ramp1,IF(W$21=$B105+1,Ramp2,1))-$P105-INDEX(LicByYear,AL105,W$21)))</f>
        <v>0</v>
      </c>
      <c r="X105" s="95">
        <f>IF(OR($C105="",X$21&lt;$B105),0,IF(X$21=$B105,OpenYearShare,1)*($N105*ContribMargin*IF(X$21=$B105,Ramp1,IF(X$21=$B105+1,Ramp2,1))-$P105-INDEX(LicByYear,AL105,X$21)))</f>
        <v>0</v>
      </c>
      <c r="Y105" s="95">
        <f>IF(OR($C105="",Y$21&lt;$B105),0,IF(Y$21=$B105,OpenYearShare,1)*($N105*ContribMargin*IF(Y$21=$B105,Ramp1,IF(Y$21=$B105+1,Ramp2,1))-$P105-INDEX(LicByYear,AL105,Y$21)))</f>
        <v>0</v>
      </c>
      <c r="Z105" s="95">
        <f>IF(OR($C105="",Z$21&lt;$B105),0,IF(Z$21=$B105,OpenYearShare,1)*($N105*ContribMargin*IF(Z$21=$B105,Ramp1,IF(Z$21=$B105+1,Ramp2,1))-$P105-INDEX(LicByYear,AL105,Z$21)))</f>
        <v>0</v>
      </c>
      <c r="AA105" s="95">
        <f>IF(OR($C105="",AA$21&lt;$B105),0,IF(AA$21=$B105,OpenYearShare,1)*($N105*ContribMargin*IF(AA$21=$B105,Ramp1,IF(AA$21=$B105+1,Ramp2,1))-$P105-INDEX(LicByYear,AL105,AA$21)))</f>
        <v>0</v>
      </c>
      <c r="AB105" s="95">
        <f>IF(OR($C105="",AB$21&lt;$B105),0,IF(AB$21=$B105,OpenYearShare,1)*($N105*ContribMargin*IF(AB$21=$B105,Ramp1,IF(AB$21=$B105+1,Ramp2,1))-$P105-INDEX(LicByYear,AL105,AB$21)))</f>
        <v>0</v>
      </c>
      <c r="AC105" s="95">
        <f>IF(OR($C105="",AC$21&lt;$B105),0,IF(AC$21=$B105,OpenYearShare,1)*($N105*ContribMargin*IF(AC$21=$B105,Ramp1,IF(AC$21=$B105+1,Ramp2,1))-$P105-INDEX(LicByYear,AL105,AC$21)))</f>
        <v>0</v>
      </c>
      <c r="AD105" s="95">
        <f>IF(OR($C105="",AD$21&lt;$B105),0,IF(AD$21=$B105,OpenYearShare,1)*($N105*ContribMargin*IF(AD$21=$B105,Ramp1,IF(AD$21=$B105+1,Ramp2,1))-$P105-INDEX(LicByYear,AL105,AD$21)))</f>
        <v>0</v>
      </c>
      <c r="AF105" s="82">
        <f>AF104+IF($C105="SPLUS",1,0)</f>
        <v>7</v>
      </c>
      <c r="AG105" s="82">
        <f>AG104+IF($C105="S",1,0)</f>
        <v>15</v>
      </c>
      <c r="AH105" s="82">
        <f>AH104+IF($C105="D",1,0)</f>
        <v>8</v>
      </c>
      <c r="AI105" s="105">
        <f>IF(OR($A105&gt;PlanStores,AF104&gt;=INDEX(Target,1)),-1000000000,INDEX(Target,1)*$A105-AF104*PlanStores)</f>
        <v>-1000000000</v>
      </c>
      <c r="AJ105" s="105">
        <f>IF(OR($A105&gt;PlanStores,AG104&gt;=INDEX(Target,2)),-1000000000,INDEX(Target,2)*$A105-AG104*PlanStores)</f>
        <v>-1000000000</v>
      </c>
      <c r="AK105" s="105">
        <f>IF(OR($A105&gt;PlanStores,AH104&gt;=INDEX(Target,3)),-1000000000,INDEX(Target,3)*$A105-AH104*PlanStores)</f>
        <v>-1000000000</v>
      </c>
      <c r="AL105" s="82" t="str">
        <f>IF($C105="","",MATCH($C105,TierCodes,0))</f>
        <v/>
      </c>
      <c r="AM105" s="82" t="str">
        <f>IF($C105="","",IF(OR(StreetChoice="Typical street for its size",INDEX(Cand,AL105)=0),"",MOD($D105-1,INDEX(Cand,AL105))+1))</f>
        <v/>
      </c>
      <c r="AN105" s="82" t="str">
        <f>IF(AM105="","",MATCH($C105&amp;"|"&amp;AM105,Melbourne!$AA$58:$AA$135,0))</f>
        <v/>
      </c>
      <c r="AO105" s="76" t="str">
        <f>IF($C105="","",Ramp1*$N105*ContribMargin-$P105-INDEX(LicPlan,AL105))</f>
        <v/>
      </c>
      <c r="AP105" s="76" t="str">
        <f>IF($C105="","",Ramp2*$N105*ContribMargin-$P105-INDEX(LicPlan,AL105))</f>
        <v/>
      </c>
      <c r="AR105" s="61" t="str">
        <f>IF($C105="","",MAX(Scale!$C$7,($D105+Scale!$C$8*($A105-$D105))^LOG(Scale!$C$6,2)))</f>
        <v/>
      </c>
      <c r="AS105" s="61" t="str">
        <f>IF($C105="","",1-IF(IF(Deal="Commit to the full plan",PlanStores,$A105)&gt;=PBAt4,Scale!$C$12,IF(IF(Deal="Commit to the full plan",PlanStores,$A105)&gt;=PBAt3,Scale!$C$11,IF(IF(Deal="Commit to the full plan",PlanStores,$A105)&gt;=PBAt2,Scale!$C$10,IF(IF(Deal="Commit to the full plan",PlanStores,$A105)&gt;=PBAt1,Scale!$C$9,0)))))</f>
        <v/>
      </c>
      <c r="AT105" s="61" t="str">
        <f>IF($C105="","",MAX(Scale!$D$7,($D105+Scale!$D$8*($A105-$D105))^LOG(Scale!$D$6,2)))</f>
        <v/>
      </c>
      <c r="AU105" s="61" t="str">
        <f>IF($C105="","",1-IF(IF(Deal="Commit to the full plan",PlanStores,$A105)&gt;=PBAt4,Scale!$D$12,IF(IF(Deal="Commit to the full plan",PlanStores,$A105)&gt;=PBAt3,Scale!$D$11,IF(IF(Deal="Commit to the full plan",PlanStores,$A105)&gt;=PBAt2,Scale!$D$10,IF(IF(Deal="Commit to the full plan",PlanStores,$A105)&gt;=PBAt1,Scale!$D$9,0)))))</f>
        <v/>
      </c>
      <c r="AV105" s="61" t="str">
        <f>IF($C105="","",MAX(Scale!$E$7,($D105+Scale!$E$8*($A105-$D105))^LOG(Scale!$E$6,2)))</f>
        <v/>
      </c>
      <c r="AW105" s="61" t="str">
        <f>IF($C105="","",1-IF(IF(Deal="Commit to the full plan",PlanStores,$A105)&gt;=PBAt4,Scale!$E$12,IF(IF(Deal="Commit to the full plan",PlanStores,$A105)&gt;=PBAt3,Scale!$E$11,IF(IF(Deal="Commit to the full plan",PlanStores,$A105)&gt;=PBAt2,Scale!$E$10,IF(IF(Deal="Commit to the full plan",PlanStores,$A105)&gt;=PBAt1,Scale!$E$9,0)))))</f>
        <v/>
      </c>
    </row>
    <row r="106">
      <c r="A106" s="110" t="n">
        <v>85</v>
      </c>
      <c r="B106" s="111" t="str">
        <f>IF($A106&gt;PlanStores,"",1+COUNTIF(CumOpenings,"&lt;"&amp;$A106))</f>
        <v/>
      </c>
      <c r="C106" s="14" t="str">
        <f>IF($A106&gt;PlanStores,"",IF(AND($A106=1,FlagshipFirst="Yes",INDEX(Target,1)&gt;0),"SPLUS",IF(AND(AI106&gt;=AJ106,AI106&gt;=AK106),"SPLUS",IF(AJ106&gt;=AK106,"S","D"))))</f>
        <v/>
      </c>
      <c r="D106" s="111" t="str">
        <f>IF($C106="","",IF($C106="SPLUS",AF106,IF($C106="S",AG106,AH106)))</f>
        <v/>
      </c>
      <c r="E106" s="112" t="str">
        <f>IF($C106="","",$D106+LearnShared*($A106-$D106))</f>
        <v/>
      </c>
      <c r="F106" s="85" t="str">
        <f>IF($C106="","",MAX(LearnFloor,$E106^LOG(LearnRate,2)))</f>
        <v/>
      </c>
      <c r="G106" s="85" t="str">
        <f>IF($C106="","",1-IF(IF(Deal="Commit to the full plan",PlanStores,$A106)&gt;=PBAt4,PBDisc4,IF(IF(Deal="Commit to the full plan",PlanStores,$A106)&gt;=PBAt3,PBDisc3,IF(IF(Deal="Commit to the full plan",PlanStores,$A106)&gt;=PBAt2,PBDisc2,IF(IF(Deal="Commit to the full plan",PlanStores,$A106)&gt;=PBAt1,PBDisc1,0)))))</f>
        <v/>
      </c>
      <c r="H106" s="39" t="str">
        <f>IF($C106="","",INDEX(BaseL,AL106)*$F106+INDEX(BaseV,AL106)*$G106+INDEX(BaseN,AL106))</f>
        <v/>
      </c>
      <c r="I106" s="39" t="str">
        <f>IF($C106="","",$H106*(1+BuildInflation)^($B106-1))</f>
        <v/>
      </c>
      <c r="J106" s="40" t="str">
        <f>IF($C106="","",IF(AN106="",IF(INDEX(Cand,AL106)=0,"No street of this size","Typical "&amp;LOWER(INDEX(TierNames,AL106))&amp;" street"),INDEX(Melbourne!$B$58:$B$135,AN106)))</f>
        <v/>
      </c>
      <c r="K106" s="40" t="str">
        <f>IF(OR($C106="",AN106=""),"",INDEX(Melbourne!$C$58:$C$135,AN106))</f>
        <v/>
      </c>
      <c r="L106" s="46" t="str">
        <f>IF($C106="","",IF(AN106="",INDEX(TypicalF,AL106),INDEX(Melbourne!$E$58:$E$135,AN106)))</f>
        <v/>
      </c>
      <c r="M106" s="86" t="str">
        <f>IF($C106="","",IF(AN106="",INDEX(TypicalQ,AL106),INDEX(Melbourne!$N$58:$N$135,AN106)))</f>
        <v/>
      </c>
      <c r="N106" s="39" t="str">
        <f>IF($C106="","",MIN($L106*Capture*$M106*Conversion*Ticket,INDEX(CapacityPsf,AL106)*INDEX(Area,AL106)))</f>
        <v/>
      </c>
      <c r="O106" s="39" t="str">
        <f>IF($C106="","",INDEX(Area,AL106)*RentPsf*($L106/Fref)^RentElasticity)</f>
        <v/>
      </c>
      <c r="P106" s="39" t="str">
        <f>IF($C106="","",$O106+INDEX(RunOther,AL106))</f>
        <v/>
      </c>
      <c r="Q106" s="95" t="str">
        <f>IF($C106="","",$N106*ContribMargin-$P106-INDEX(LicPlan,AL106))</f>
        <v/>
      </c>
      <c r="R106" s="113" t="str">
        <f>IF($C106="","",IF(AND(AO106&gt;=$H106,AO106&gt;0),$H106/AO106,IF(AND(AO106+AP106&gt;=$H106,AP106&gt;0),1+($H106-AO106)/AP106,IF($Q106&gt;0,2+($H106-AO106-AP106)/$Q106,"Never"))))</f>
        <v/>
      </c>
      <c r="S106" s="39" t="str">
        <f>IF($C106="","",StockWeeks/52*$N106*(1-GrossMargin))</f>
        <v/>
      </c>
      <c r="U106" s="95">
        <f>IF(OR($C106="",U$21&lt;$B106),0,IF(U$21=$B106,OpenYearShare,1)*($N106*ContribMargin*IF(U$21=$B106,Ramp1,IF(U$21=$B106+1,Ramp2,1))-$P106-INDEX(LicByYear,AL106,U$21)))</f>
        <v>0</v>
      </c>
      <c r="V106" s="95">
        <f>IF(OR($C106="",V$21&lt;$B106),0,IF(V$21=$B106,OpenYearShare,1)*($N106*ContribMargin*IF(V$21=$B106,Ramp1,IF(V$21=$B106+1,Ramp2,1))-$P106-INDEX(LicByYear,AL106,V$21)))</f>
        <v>0</v>
      </c>
      <c r="W106" s="95">
        <f>IF(OR($C106="",W$21&lt;$B106),0,IF(W$21=$B106,OpenYearShare,1)*($N106*ContribMargin*IF(W$21=$B106,Ramp1,IF(W$21=$B106+1,Ramp2,1))-$P106-INDEX(LicByYear,AL106,W$21)))</f>
        <v>0</v>
      </c>
      <c r="X106" s="95">
        <f>IF(OR($C106="",X$21&lt;$B106),0,IF(X$21=$B106,OpenYearShare,1)*($N106*ContribMargin*IF(X$21=$B106,Ramp1,IF(X$21=$B106+1,Ramp2,1))-$P106-INDEX(LicByYear,AL106,X$21)))</f>
        <v>0</v>
      </c>
      <c r="Y106" s="95">
        <f>IF(OR($C106="",Y$21&lt;$B106),0,IF(Y$21=$B106,OpenYearShare,1)*($N106*ContribMargin*IF(Y$21=$B106,Ramp1,IF(Y$21=$B106+1,Ramp2,1))-$P106-INDEX(LicByYear,AL106,Y$21)))</f>
        <v>0</v>
      </c>
      <c r="Z106" s="95">
        <f>IF(OR($C106="",Z$21&lt;$B106),0,IF(Z$21=$B106,OpenYearShare,1)*($N106*ContribMargin*IF(Z$21=$B106,Ramp1,IF(Z$21=$B106+1,Ramp2,1))-$P106-INDEX(LicByYear,AL106,Z$21)))</f>
        <v>0</v>
      </c>
      <c r="AA106" s="95">
        <f>IF(OR($C106="",AA$21&lt;$B106),0,IF(AA$21=$B106,OpenYearShare,1)*($N106*ContribMargin*IF(AA$21=$B106,Ramp1,IF(AA$21=$B106+1,Ramp2,1))-$P106-INDEX(LicByYear,AL106,AA$21)))</f>
        <v>0</v>
      </c>
      <c r="AB106" s="95">
        <f>IF(OR($C106="",AB$21&lt;$B106),0,IF(AB$21=$B106,OpenYearShare,1)*($N106*ContribMargin*IF(AB$21=$B106,Ramp1,IF(AB$21=$B106+1,Ramp2,1))-$P106-INDEX(LicByYear,AL106,AB$21)))</f>
        <v>0</v>
      </c>
      <c r="AC106" s="95">
        <f>IF(OR($C106="",AC$21&lt;$B106),0,IF(AC$21=$B106,OpenYearShare,1)*($N106*ContribMargin*IF(AC$21=$B106,Ramp1,IF(AC$21=$B106+1,Ramp2,1))-$P106-INDEX(LicByYear,AL106,AC$21)))</f>
        <v>0</v>
      </c>
      <c r="AD106" s="95">
        <f>IF(OR($C106="",AD$21&lt;$B106),0,IF(AD$21=$B106,OpenYearShare,1)*($N106*ContribMargin*IF(AD$21=$B106,Ramp1,IF(AD$21=$B106+1,Ramp2,1))-$P106-INDEX(LicByYear,AL106,AD$21)))</f>
        <v>0</v>
      </c>
      <c r="AF106" s="82">
        <f>AF105+IF($C106="SPLUS",1,0)</f>
        <v>7</v>
      </c>
      <c r="AG106" s="82">
        <f>AG105+IF($C106="S",1,0)</f>
        <v>15</v>
      </c>
      <c r="AH106" s="82">
        <f>AH105+IF($C106="D",1,0)</f>
        <v>8</v>
      </c>
      <c r="AI106" s="105">
        <f>IF(OR($A106&gt;PlanStores,AF105&gt;=INDEX(Target,1)),-1000000000,INDEX(Target,1)*$A106-AF105*PlanStores)</f>
        <v>-1000000000</v>
      </c>
      <c r="AJ106" s="105">
        <f>IF(OR($A106&gt;PlanStores,AG105&gt;=INDEX(Target,2)),-1000000000,INDEX(Target,2)*$A106-AG105*PlanStores)</f>
        <v>-1000000000</v>
      </c>
      <c r="AK106" s="105">
        <f>IF(OR($A106&gt;PlanStores,AH105&gt;=INDEX(Target,3)),-1000000000,INDEX(Target,3)*$A106-AH105*PlanStores)</f>
        <v>-1000000000</v>
      </c>
      <c r="AL106" s="82" t="str">
        <f>IF($C106="","",MATCH($C106,TierCodes,0))</f>
        <v/>
      </c>
      <c r="AM106" s="82" t="str">
        <f>IF($C106="","",IF(OR(StreetChoice="Typical street for its size",INDEX(Cand,AL106)=0),"",MOD($D106-1,INDEX(Cand,AL106))+1))</f>
        <v/>
      </c>
      <c r="AN106" s="82" t="str">
        <f>IF(AM106="","",MATCH($C106&amp;"|"&amp;AM106,Melbourne!$AA$58:$AA$135,0))</f>
        <v/>
      </c>
      <c r="AO106" s="76" t="str">
        <f>IF($C106="","",Ramp1*$N106*ContribMargin-$P106-INDEX(LicPlan,AL106))</f>
        <v/>
      </c>
      <c r="AP106" s="76" t="str">
        <f>IF($C106="","",Ramp2*$N106*ContribMargin-$P106-INDEX(LicPlan,AL106))</f>
        <v/>
      </c>
      <c r="AR106" s="61" t="str">
        <f>IF($C106="","",MAX(Scale!$C$7,($D106+Scale!$C$8*($A106-$D106))^LOG(Scale!$C$6,2)))</f>
        <v/>
      </c>
      <c r="AS106" s="61" t="str">
        <f>IF($C106="","",1-IF(IF(Deal="Commit to the full plan",PlanStores,$A106)&gt;=PBAt4,Scale!$C$12,IF(IF(Deal="Commit to the full plan",PlanStores,$A106)&gt;=PBAt3,Scale!$C$11,IF(IF(Deal="Commit to the full plan",PlanStores,$A106)&gt;=PBAt2,Scale!$C$10,IF(IF(Deal="Commit to the full plan",PlanStores,$A106)&gt;=PBAt1,Scale!$C$9,0)))))</f>
        <v/>
      </c>
      <c r="AT106" s="61" t="str">
        <f>IF($C106="","",MAX(Scale!$D$7,($D106+Scale!$D$8*($A106-$D106))^LOG(Scale!$D$6,2)))</f>
        <v/>
      </c>
      <c r="AU106" s="61" t="str">
        <f>IF($C106="","",1-IF(IF(Deal="Commit to the full plan",PlanStores,$A106)&gt;=PBAt4,Scale!$D$12,IF(IF(Deal="Commit to the full plan",PlanStores,$A106)&gt;=PBAt3,Scale!$D$11,IF(IF(Deal="Commit to the full plan",PlanStores,$A106)&gt;=PBAt2,Scale!$D$10,IF(IF(Deal="Commit to the full plan",PlanStores,$A106)&gt;=PBAt1,Scale!$D$9,0)))))</f>
        <v/>
      </c>
      <c r="AV106" s="61" t="str">
        <f>IF($C106="","",MAX(Scale!$E$7,($D106+Scale!$E$8*($A106-$D106))^LOG(Scale!$E$6,2)))</f>
        <v/>
      </c>
      <c r="AW106" s="61" t="str">
        <f>IF($C106="","",1-IF(IF(Deal="Commit to the full plan",PlanStores,$A106)&gt;=PBAt4,Scale!$E$12,IF(IF(Deal="Commit to the full plan",PlanStores,$A106)&gt;=PBAt3,Scale!$E$11,IF(IF(Deal="Commit to the full plan",PlanStores,$A106)&gt;=PBAt2,Scale!$E$10,IF(IF(Deal="Commit to the full plan",PlanStores,$A106)&gt;=PBAt1,Scale!$E$9,0)))))</f>
        <v/>
      </c>
    </row>
    <row r="107">
      <c r="A107" s="110" t="n">
        <v>86</v>
      </c>
      <c r="B107" s="111" t="str">
        <f>IF($A107&gt;PlanStores,"",1+COUNTIF(CumOpenings,"&lt;"&amp;$A107))</f>
        <v/>
      </c>
      <c r="C107" s="14" t="str">
        <f>IF($A107&gt;PlanStores,"",IF(AND($A107=1,FlagshipFirst="Yes",INDEX(Target,1)&gt;0),"SPLUS",IF(AND(AI107&gt;=AJ107,AI107&gt;=AK107),"SPLUS",IF(AJ107&gt;=AK107,"S","D"))))</f>
        <v/>
      </c>
      <c r="D107" s="111" t="str">
        <f>IF($C107="","",IF($C107="SPLUS",AF107,IF($C107="S",AG107,AH107)))</f>
        <v/>
      </c>
      <c r="E107" s="112" t="str">
        <f>IF($C107="","",$D107+LearnShared*($A107-$D107))</f>
        <v/>
      </c>
      <c r="F107" s="85" t="str">
        <f>IF($C107="","",MAX(LearnFloor,$E107^LOG(LearnRate,2)))</f>
        <v/>
      </c>
      <c r="G107" s="85" t="str">
        <f>IF($C107="","",1-IF(IF(Deal="Commit to the full plan",PlanStores,$A107)&gt;=PBAt4,PBDisc4,IF(IF(Deal="Commit to the full plan",PlanStores,$A107)&gt;=PBAt3,PBDisc3,IF(IF(Deal="Commit to the full plan",PlanStores,$A107)&gt;=PBAt2,PBDisc2,IF(IF(Deal="Commit to the full plan",PlanStores,$A107)&gt;=PBAt1,PBDisc1,0)))))</f>
        <v/>
      </c>
      <c r="H107" s="39" t="str">
        <f>IF($C107="","",INDEX(BaseL,AL107)*$F107+INDEX(BaseV,AL107)*$G107+INDEX(BaseN,AL107))</f>
        <v/>
      </c>
      <c r="I107" s="39" t="str">
        <f>IF($C107="","",$H107*(1+BuildInflation)^($B107-1))</f>
        <v/>
      </c>
      <c r="J107" s="40" t="str">
        <f>IF($C107="","",IF(AN107="",IF(INDEX(Cand,AL107)=0,"No street of this size","Typical "&amp;LOWER(INDEX(TierNames,AL107))&amp;" street"),INDEX(Melbourne!$B$58:$B$135,AN107)))</f>
        <v/>
      </c>
      <c r="K107" s="40" t="str">
        <f>IF(OR($C107="",AN107=""),"",INDEX(Melbourne!$C$58:$C$135,AN107))</f>
        <v/>
      </c>
      <c r="L107" s="46" t="str">
        <f>IF($C107="","",IF(AN107="",INDEX(TypicalF,AL107),INDEX(Melbourne!$E$58:$E$135,AN107)))</f>
        <v/>
      </c>
      <c r="M107" s="86" t="str">
        <f>IF($C107="","",IF(AN107="",INDEX(TypicalQ,AL107),INDEX(Melbourne!$N$58:$N$135,AN107)))</f>
        <v/>
      </c>
      <c r="N107" s="39" t="str">
        <f>IF($C107="","",MIN($L107*Capture*$M107*Conversion*Ticket,INDEX(CapacityPsf,AL107)*INDEX(Area,AL107)))</f>
        <v/>
      </c>
      <c r="O107" s="39" t="str">
        <f>IF($C107="","",INDEX(Area,AL107)*RentPsf*($L107/Fref)^RentElasticity)</f>
        <v/>
      </c>
      <c r="P107" s="39" t="str">
        <f>IF($C107="","",$O107+INDEX(RunOther,AL107))</f>
        <v/>
      </c>
      <c r="Q107" s="95" t="str">
        <f>IF($C107="","",$N107*ContribMargin-$P107-INDEX(LicPlan,AL107))</f>
        <v/>
      </c>
      <c r="R107" s="113" t="str">
        <f>IF($C107="","",IF(AND(AO107&gt;=$H107,AO107&gt;0),$H107/AO107,IF(AND(AO107+AP107&gt;=$H107,AP107&gt;0),1+($H107-AO107)/AP107,IF($Q107&gt;0,2+($H107-AO107-AP107)/$Q107,"Never"))))</f>
        <v/>
      </c>
      <c r="S107" s="39" t="str">
        <f>IF($C107="","",StockWeeks/52*$N107*(1-GrossMargin))</f>
        <v/>
      </c>
      <c r="U107" s="95">
        <f>IF(OR($C107="",U$21&lt;$B107),0,IF(U$21=$B107,OpenYearShare,1)*($N107*ContribMargin*IF(U$21=$B107,Ramp1,IF(U$21=$B107+1,Ramp2,1))-$P107-INDEX(LicByYear,AL107,U$21)))</f>
        <v>0</v>
      </c>
      <c r="V107" s="95">
        <f>IF(OR($C107="",V$21&lt;$B107),0,IF(V$21=$B107,OpenYearShare,1)*($N107*ContribMargin*IF(V$21=$B107,Ramp1,IF(V$21=$B107+1,Ramp2,1))-$P107-INDEX(LicByYear,AL107,V$21)))</f>
        <v>0</v>
      </c>
      <c r="W107" s="95">
        <f>IF(OR($C107="",W$21&lt;$B107),0,IF(W$21=$B107,OpenYearShare,1)*($N107*ContribMargin*IF(W$21=$B107,Ramp1,IF(W$21=$B107+1,Ramp2,1))-$P107-INDEX(LicByYear,AL107,W$21)))</f>
        <v>0</v>
      </c>
      <c r="X107" s="95">
        <f>IF(OR($C107="",X$21&lt;$B107),0,IF(X$21=$B107,OpenYearShare,1)*($N107*ContribMargin*IF(X$21=$B107,Ramp1,IF(X$21=$B107+1,Ramp2,1))-$P107-INDEX(LicByYear,AL107,X$21)))</f>
        <v>0</v>
      </c>
      <c r="Y107" s="95">
        <f>IF(OR($C107="",Y$21&lt;$B107),0,IF(Y$21=$B107,OpenYearShare,1)*($N107*ContribMargin*IF(Y$21=$B107,Ramp1,IF(Y$21=$B107+1,Ramp2,1))-$P107-INDEX(LicByYear,AL107,Y$21)))</f>
        <v>0</v>
      </c>
      <c r="Z107" s="95">
        <f>IF(OR($C107="",Z$21&lt;$B107),0,IF(Z$21=$B107,OpenYearShare,1)*($N107*ContribMargin*IF(Z$21=$B107,Ramp1,IF(Z$21=$B107+1,Ramp2,1))-$P107-INDEX(LicByYear,AL107,Z$21)))</f>
        <v>0</v>
      </c>
      <c r="AA107" s="95">
        <f>IF(OR($C107="",AA$21&lt;$B107),0,IF(AA$21=$B107,OpenYearShare,1)*($N107*ContribMargin*IF(AA$21=$B107,Ramp1,IF(AA$21=$B107+1,Ramp2,1))-$P107-INDEX(LicByYear,AL107,AA$21)))</f>
        <v>0</v>
      </c>
      <c r="AB107" s="95">
        <f>IF(OR($C107="",AB$21&lt;$B107),0,IF(AB$21=$B107,OpenYearShare,1)*($N107*ContribMargin*IF(AB$21=$B107,Ramp1,IF(AB$21=$B107+1,Ramp2,1))-$P107-INDEX(LicByYear,AL107,AB$21)))</f>
        <v>0</v>
      </c>
      <c r="AC107" s="95">
        <f>IF(OR($C107="",AC$21&lt;$B107),0,IF(AC$21=$B107,OpenYearShare,1)*($N107*ContribMargin*IF(AC$21=$B107,Ramp1,IF(AC$21=$B107+1,Ramp2,1))-$P107-INDEX(LicByYear,AL107,AC$21)))</f>
        <v>0</v>
      </c>
      <c r="AD107" s="95">
        <f>IF(OR($C107="",AD$21&lt;$B107),0,IF(AD$21=$B107,OpenYearShare,1)*($N107*ContribMargin*IF(AD$21=$B107,Ramp1,IF(AD$21=$B107+1,Ramp2,1))-$P107-INDEX(LicByYear,AL107,AD$21)))</f>
        <v>0</v>
      </c>
      <c r="AF107" s="82">
        <f>AF106+IF($C107="SPLUS",1,0)</f>
        <v>7</v>
      </c>
      <c r="AG107" s="82">
        <f>AG106+IF($C107="S",1,0)</f>
        <v>15</v>
      </c>
      <c r="AH107" s="82">
        <f>AH106+IF($C107="D",1,0)</f>
        <v>8</v>
      </c>
      <c r="AI107" s="105">
        <f>IF(OR($A107&gt;PlanStores,AF106&gt;=INDEX(Target,1)),-1000000000,INDEX(Target,1)*$A107-AF106*PlanStores)</f>
        <v>-1000000000</v>
      </c>
      <c r="AJ107" s="105">
        <f>IF(OR($A107&gt;PlanStores,AG106&gt;=INDEX(Target,2)),-1000000000,INDEX(Target,2)*$A107-AG106*PlanStores)</f>
        <v>-1000000000</v>
      </c>
      <c r="AK107" s="105">
        <f>IF(OR($A107&gt;PlanStores,AH106&gt;=INDEX(Target,3)),-1000000000,INDEX(Target,3)*$A107-AH106*PlanStores)</f>
        <v>-1000000000</v>
      </c>
      <c r="AL107" s="82" t="str">
        <f>IF($C107="","",MATCH($C107,TierCodes,0))</f>
        <v/>
      </c>
      <c r="AM107" s="82" t="str">
        <f>IF($C107="","",IF(OR(StreetChoice="Typical street for its size",INDEX(Cand,AL107)=0),"",MOD($D107-1,INDEX(Cand,AL107))+1))</f>
        <v/>
      </c>
      <c r="AN107" s="82" t="str">
        <f>IF(AM107="","",MATCH($C107&amp;"|"&amp;AM107,Melbourne!$AA$58:$AA$135,0))</f>
        <v/>
      </c>
      <c r="AO107" s="76" t="str">
        <f>IF($C107="","",Ramp1*$N107*ContribMargin-$P107-INDEX(LicPlan,AL107))</f>
        <v/>
      </c>
      <c r="AP107" s="76" t="str">
        <f>IF($C107="","",Ramp2*$N107*ContribMargin-$P107-INDEX(LicPlan,AL107))</f>
        <v/>
      </c>
      <c r="AR107" s="61" t="str">
        <f>IF($C107="","",MAX(Scale!$C$7,($D107+Scale!$C$8*($A107-$D107))^LOG(Scale!$C$6,2)))</f>
        <v/>
      </c>
      <c r="AS107" s="61" t="str">
        <f>IF($C107="","",1-IF(IF(Deal="Commit to the full plan",PlanStores,$A107)&gt;=PBAt4,Scale!$C$12,IF(IF(Deal="Commit to the full plan",PlanStores,$A107)&gt;=PBAt3,Scale!$C$11,IF(IF(Deal="Commit to the full plan",PlanStores,$A107)&gt;=PBAt2,Scale!$C$10,IF(IF(Deal="Commit to the full plan",PlanStores,$A107)&gt;=PBAt1,Scale!$C$9,0)))))</f>
        <v/>
      </c>
      <c r="AT107" s="61" t="str">
        <f>IF($C107="","",MAX(Scale!$D$7,($D107+Scale!$D$8*($A107-$D107))^LOG(Scale!$D$6,2)))</f>
        <v/>
      </c>
      <c r="AU107" s="61" t="str">
        <f>IF($C107="","",1-IF(IF(Deal="Commit to the full plan",PlanStores,$A107)&gt;=PBAt4,Scale!$D$12,IF(IF(Deal="Commit to the full plan",PlanStores,$A107)&gt;=PBAt3,Scale!$D$11,IF(IF(Deal="Commit to the full plan",PlanStores,$A107)&gt;=PBAt2,Scale!$D$10,IF(IF(Deal="Commit to the full plan",PlanStores,$A107)&gt;=PBAt1,Scale!$D$9,0)))))</f>
        <v/>
      </c>
      <c r="AV107" s="61" t="str">
        <f>IF($C107="","",MAX(Scale!$E$7,($D107+Scale!$E$8*($A107-$D107))^LOG(Scale!$E$6,2)))</f>
        <v/>
      </c>
      <c r="AW107" s="61" t="str">
        <f>IF($C107="","",1-IF(IF(Deal="Commit to the full plan",PlanStores,$A107)&gt;=PBAt4,Scale!$E$12,IF(IF(Deal="Commit to the full plan",PlanStores,$A107)&gt;=PBAt3,Scale!$E$11,IF(IF(Deal="Commit to the full plan",PlanStores,$A107)&gt;=PBAt2,Scale!$E$10,IF(IF(Deal="Commit to the full plan",PlanStores,$A107)&gt;=PBAt1,Scale!$E$9,0)))))</f>
        <v/>
      </c>
    </row>
    <row r="108">
      <c r="A108" s="110" t="n">
        <v>87</v>
      </c>
      <c r="B108" s="111" t="str">
        <f>IF($A108&gt;PlanStores,"",1+COUNTIF(CumOpenings,"&lt;"&amp;$A108))</f>
        <v/>
      </c>
      <c r="C108" s="14" t="str">
        <f>IF($A108&gt;PlanStores,"",IF(AND($A108=1,FlagshipFirst="Yes",INDEX(Target,1)&gt;0),"SPLUS",IF(AND(AI108&gt;=AJ108,AI108&gt;=AK108),"SPLUS",IF(AJ108&gt;=AK108,"S","D"))))</f>
        <v/>
      </c>
      <c r="D108" s="111" t="str">
        <f>IF($C108="","",IF($C108="SPLUS",AF108,IF($C108="S",AG108,AH108)))</f>
        <v/>
      </c>
      <c r="E108" s="112" t="str">
        <f>IF($C108="","",$D108+LearnShared*($A108-$D108))</f>
        <v/>
      </c>
      <c r="F108" s="85" t="str">
        <f>IF($C108="","",MAX(LearnFloor,$E108^LOG(LearnRate,2)))</f>
        <v/>
      </c>
      <c r="G108" s="85" t="str">
        <f>IF($C108="","",1-IF(IF(Deal="Commit to the full plan",PlanStores,$A108)&gt;=PBAt4,PBDisc4,IF(IF(Deal="Commit to the full plan",PlanStores,$A108)&gt;=PBAt3,PBDisc3,IF(IF(Deal="Commit to the full plan",PlanStores,$A108)&gt;=PBAt2,PBDisc2,IF(IF(Deal="Commit to the full plan",PlanStores,$A108)&gt;=PBAt1,PBDisc1,0)))))</f>
        <v/>
      </c>
      <c r="H108" s="39" t="str">
        <f>IF($C108="","",INDEX(BaseL,AL108)*$F108+INDEX(BaseV,AL108)*$G108+INDEX(BaseN,AL108))</f>
        <v/>
      </c>
      <c r="I108" s="39" t="str">
        <f>IF($C108="","",$H108*(1+BuildInflation)^($B108-1))</f>
        <v/>
      </c>
      <c r="J108" s="40" t="str">
        <f>IF($C108="","",IF(AN108="",IF(INDEX(Cand,AL108)=0,"No street of this size","Typical "&amp;LOWER(INDEX(TierNames,AL108))&amp;" street"),INDEX(Melbourne!$B$58:$B$135,AN108)))</f>
        <v/>
      </c>
      <c r="K108" s="40" t="str">
        <f>IF(OR($C108="",AN108=""),"",INDEX(Melbourne!$C$58:$C$135,AN108))</f>
        <v/>
      </c>
      <c r="L108" s="46" t="str">
        <f>IF($C108="","",IF(AN108="",INDEX(TypicalF,AL108),INDEX(Melbourne!$E$58:$E$135,AN108)))</f>
        <v/>
      </c>
      <c r="M108" s="86" t="str">
        <f>IF($C108="","",IF(AN108="",INDEX(TypicalQ,AL108),INDEX(Melbourne!$N$58:$N$135,AN108)))</f>
        <v/>
      </c>
      <c r="N108" s="39" t="str">
        <f>IF($C108="","",MIN($L108*Capture*$M108*Conversion*Ticket,INDEX(CapacityPsf,AL108)*INDEX(Area,AL108)))</f>
        <v/>
      </c>
      <c r="O108" s="39" t="str">
        <f>IF($C108="","",INDEX(Area,AL108)*RentPsf*($L108/Fref)^RentElasticity)</f>
        <v/>
      </c>
      <c r="P108" s="39" t="str">
        <f>IF($C108="","",$O108+INDEX(RunOther,AL108))</f>
        <v/>
      </c>
      <c r="Q108" s="95" t="str">
        <f>IF($C108="","",$N108*ContribMargin-$P108-INDEX(LicPlan,AL108))</f>
        <v/>
      </c>
      <c r="R108" s="113" t="str">
        <f>IF($C108="","",IF(AND(AO108&gt;=$H108,AO108&gt;0),$H108/AO108,IF(AND(AO108+AP108&gt;=$H108,AP108&gt;0),1+($H108-AO108)/AP108,IF($Q108&gt;0,2+($H108-AO108-AP108)/$Q108,"Never"))))</f>
        <v/>
      </c>
      <c r="S108" s="39" t="str">
        <f>IF($C108="","",StockWeeks/52*$N108*(1-GrossMargin))</f>
        <v/>
      </c>
      <c r="U108" s="95">
        <f>IF(OR($C108="",U$21&lt;$B108),0,IF(U$21=$B108,OpenYearShare,1)*($N108*ContribMargin*IF(U$21=$B108,Ramp1,IF(U$21=$B108+1,Ramp2,1))-$P108-INDEX(LicByYear,AL108,U$21)))</f>
        <v>0</v>
      </c>
      <c r="V108" s="95">
        <f>IF(OR($C108="",V$21&lt;$B108),0,IF(V$21=$B108,OpenYearShare,1)*($N108*ContribMargin*IF(V$21=$B108,Ramp1,IF(V$21=$B108+1,Ramp2,1))-$P108-INDEX(LicByYear,AL108,V$21)))</f>
        <v>0</v>
      </c>
      <c r="W108" s="95">
        <f>IF(OR($C108="",W$21&lt;$B108),0,IF(W$21=$B108,OpenYearShare,1)*($N108*ContribMargin*IF(W$21=$B108,Ramp1,IF(W$21=$B108+1,Ramp2,1))-$P108-INDEX(LicByYear,AL108,W$21)))</f>
        <v>0</v>
      </c>
      <c r="X108" s="95">
        <f>IF(OR($C108="",X$21&lt;$B108),0,IF(X$21=$B108,OpenYearShare,1)*($N108*ContribMargin*IF(X$21=$B108,Ramp1,IF(X$21=$B108+1,Ramp2,1))-$P108-INDEX(LicByYear,AL108,X$21)))</f>
        <v>0</v>
      </c>
      <c r="Y108" s="95">
        <f>IF(OR($C108="",Y$21&lt;$B108),0,IF(Y$21=$B108,OpenYearShare,1)*($N108*ContribMargin*IF(Y$21=$B108,Ramp1,IF(Y$21=$B108+1,Ramp2,1))-$P108-INDEX(LicByYear,AL108,Y$21)))</f>
        <v>0</v>
      </c>
      <c r="Z108" s="95">
        <f>IF(OR($C108="",Z$21&lt;$B108),0,IF(Z$21=$B108,OpenYearShare,1)*($N108*ContribMargin*IF(Z$21=$B108,Ramp1,IF(Z$21=$B108+1,Ramp2,1))-$P108-INDEX(LicByYear,AL108,Z$21)))</f>
        <v>0</v>
      </c>
      <c r="AA108" s="95">
        <f>IF(OR($C108="",AA$21&lt;$B108),0,IF(AA$21=$B108,OpenYearShare,1)*($N108*ContribMargin*IF(AA$21=$B108,Ramp1,IF(AA$21=$B108+1,Ramp2,1))-$P108-INDEX(LicByYear,AL108,AA$21)))</f>
        <v>0</v>
      </c>
      <c r="AB108" s="95">
        <f>IF(OR($C108="",AB$21&lt;$B108),0,IF(AB$21=$B108,OpenYearShare,1)*($N108*ContribMargin*IF(AB$21=$B108,Ramp1,IF(AB$21=$B108+1,Ramp2,1))-$P108-INDEX(LicByYear,AL108,AB$21)))</f>
        <v>0</v>
      </c>
      <c r="AC108" s="95">
        <f>IF(OR($C108="",AC$21&lt;$B108),0,IF(AC$21=$B108,OpenYearShare,1)*($N108*ContribMargin*IF(AC$21=$B108,Ramp1,IF(AC$21=$B108+1,Ramp2,1))-$P108-INDEX(LicByYear,AL108,AC$21)))</f>
        <v>0</v>
      </c>
      <c r="AD108" s="95">
        <f>IF(OR($C108="",AD$21&lt;$B108),0,IF(AD$21=$B108,OpenYearShare,1)*($N108*ContribMargin*IF(AD$21=$B108,Ramp1,IF(AD$21=$B108+1,Ramp2,1))-$P108-INDEX(LicByYear,AL108,AD$21)))</f>
        <v>0</v>
      </c>
      <c r="AF108" s="82">
        <f>AF107+IF($C108="SPLUS",1,0)</f>
        <v>7</v>
      </c>
      <c r="AG108" s="82">
        <f>AG107+IF($C108="S",1,0)</f>
        <v>15</v>
      </c>
      <c r="AH108" s="82">
        <f>AH107+IF($C108="D",1,0)</f>
        <v>8</v>
      </c>
      <c r="AI108" s="105">
        <f>IF(OR($A108&gt;PlanStores,AF107&gt;=INDEX(Target,1)),-1000000000,INDEX(Target,1)*$A108-AF107*PlanStores)</f>
        <v>-1000000000</v>
      </c>
      <c r="AJ108" s="105">
        <f>IF(OR($A108&gt;PlanStores,AG107&gt;=INDEX(Target,2)),-1000000000,INDEX(Target,2)*$A108-AG107*PlanStores)</f>
        <v>-1000000000</v>
      </c>
      <c r="AK108" s="105">
        <f>IF(OR($A108&gt;PlanStores,AH107&gt;=INDEX(Target,3)),-1000000000,INDEX(Target,3)*$A108-AH107*PlanStores)</f>
        <v>-1000000000</v>
      </c>
      <c r="AL108" s="82" t="str">
        <f>IF($C108="","",MATCH($C108,TierCodes,0))</f>
        <v/>
      </c>
      <c r="AM108" s="82" t="str">
        <f>IF($C108="","",IF(OR(StreetChoice="Typical street for its size",INDEX(Cand,AL108)=0),"",MOD($D108-1,INDEX(Cand,AL108))+1))</f>
        <v/>
      </c>
      <c r="AN108" s="82" t="str">
        <f>IF(AM108="","",MATCH($C108&amp;"|"&amp;AM108,Melbourne!$AA$58:$AA$135,0))</f>
        <v/>
      </c>
      <c r="AO108" s="76" t="str">
        <f>IF($C108="","",Ramp1*$N108*ContribMargin-$P108-INDEX(LicPlan,AL108))</f>
        <v/>
      </c>
      <c r="AP108" s="76" t="str">
        <f>IF($C108="","",Ramp2*$N108*ContribMargin-$P108-INDEX(LicPlan,AL108))</f>
        <v/>
      </c>
      <c r="AR108" s="61" t="str">
        <f>IF($C108="","",MAX(Scale!$C$7,($D108+Scale!$C$8*($A108-$D108))^LOG(Scale!$C$6,2)))</f>
        <v/>
      </c>
      <c r="AS108" s="61" t="str">
        <f>IF($C108="","",1-IF(IF(Deal="Commit to the full plan",PlanStores,$A108)&gt;=PBAt4,Scale!$C$12,IF(IF(Deal="Commit to the full plan",PlanStores,$A108)&gt;=PBAt3,Scale!$C$11,IF(IF(Deal="Commit to the full plan",PlanStores,$A108)&gt;=PBAt2,Scale!$C$10,IF(IF(Deal="Commit to the full plan",PlanStores,$A108)&gt;=PBAt1,Scale!$C$9,0)))))</f>
        <v/>
      </c>
      <c r="AT108" s="61" t="str">
        <f>IF($C108="","",MAX(Scale!$D$7,($D108+Scale!$D$8*($A108-$D108))^LOG(Scale!$D$6,2)))</f>
        <v/>
      </c>
      <c r="AU108" s="61" t="str">
        <f>IF($C108="","",1-IF(IF(Deal="Commit to the full plan",PlanStores,$A108)&gt;=PBAt4,Scale!$D$12,IF(IF(Deal="Commit to the full plan",PlanStores,$A108)&gt;=PBAt3,Scale!$D$11,IF(IF(Deal="Commit to the full plan",PlanStores,$A108)&gt;=PBAt2,Scale!$D$10,IF(IF(Deal="Commit to the full plan",PlanStores,$A108)&gt;=PBAt1,Scale!$D$9,0)))))</f>
        <v/>
      </c>
      <c r="AV108" s="61" t="str">
        <f>IF($C108="","",MAX(Scale!$E$7,($D108+Scale!$E$8*($A108-$D108))^LOG(Scale!$E$6,2)))</f>
        <v/>
      </c>
      <c r="AW108" s="61" t="str">
        <f>IF($C108="","",1-IF(IF(Deal="Commit to the full plan",PlanStores,$A108)&gt;=PBAt4,Scale!$E$12,IF(IF(Deal="Commit to the full plan",PlanStores,$A108)&gt;=PBAt3,Scale!$E$11,IF(IF(Deal="Commit to the full plan",PlanStores,$A108)&gt;=PBAt2,Scale!$E$10,IF(IF(Deal="Commit to the full plan",PlanStores,$A108)&gt;=PBAt1,Scale!$E$9,0)))))</f>
        <v/>
      </c>
    </row>
    <row r="109">
      <c r="A109" s="110" t="n">
        <v>88</v>
      </c>
      <c r="B109" s="111" t="str">
        <f>IF($A109&gt;PlanStores,"",1+COUNTIF(CumOpenings,"&lt;"&amp;$A109))</f>
        <v/>
      </c>
      <c r="C109" s="14" t="str">
        <f>IF($A109&gt;PlanStores,"",IF(AND($A109=1,FlagshipFirst="Yes",INDEX(Target,1)&gt;0),"SPLUS",IF(AND(AI109&gt;=AJ109,AI109&gt;=AK109),"SPLUS",IF(AJ109&gt;=AK109,"S","D"))))</f>
        <v/>
      </c>
      <c r="D109" s="111" t="str">
        <f>IF($C109="","",IF($C109="SPLUS",AF109,IF($C109="S",AG109,AH109)))</f>
        <v/>
      </c>
      <c r="E109" s="112" t="str">
        <f>IF($C109="","",$D109+LearnShared*($A109-$D109))</f>
        <v/>
      </c>
      <c r="F109" s="85" t="str">
        <f>IF($C109="","",MAX(LearnFloor,$E109^LOG(LearnRate,2)))</f>
        <v/>
      </c>
      <c r="G109" s="85" t="str">
        <f>IF($C109="","",1-IF(IF(Deal="Commit to the full plan",PlanStores,$A109)&gt;=PBAt4,PBDisc4,IF(IF(Deal="Commit to the full plan",PlanStores,$A109)&gt;=PBAt3,PBDisc3,IF(IF(Deal="Commit to the full plan",PlanStores,$A109)&gt;=PBAt2,PBDisc2,IF(IF(Deal="Commit to the full plan",PlanStores,$A109)&gt;=PBAt1,PBDisc1,0)))))</f>
        <v/>
      </c>
      <c r="H109" s="39" t="str">
        <f>IF($C109="","",INDEX(BaseL,AL109)*$F109+INDEX(BaseV,AL109)*$G109+INDEX(BaseN,AL109))</f>
        <v/>
      </c>
      <c r="I109" s="39" t="str">
        <f>IF($C109="","",$H109*(1+BuildInflation)^($B109-1))</f>
        <v/>
      </c>
      <c r="J109" s="40" t="str">
        <f>IF($C109="","",IF(AN109="",IF(INDEX(Cand,AL109)=0,"No street of this size","Typical "&amp;LOWER(INDEX(TierNames,AL109))&amp;" street"),INDEX(Melbourne!$B$58:$B$135,AN109)))</f>
        <v/>
      </c>
      <c r="K109" s="40" t="str">
        <f>IF(OR($C109="",AN109=""),"",INDEX(Melbourne!$C$58:$C$135,AN109))</f>
        <v/>
      </c>
      <c r="L109" s="46" t="str">
        <f>IF($C109="","",IF(AN109="",INDEX(TypicalF,AL109),INDEX(Melbourne!$E$58:$E$135,AN109)))</f>
        <v/>
      </c>
      <c r="M109" s="86" t="str">
        <f>IF($C109="","",IF(AN109="",INDEX(TypicalQ,AL109),INDEX(Melbourne!$N$58:$N$135,AN109)))</f>
        <v/>
      </c>
      <c r="N109" s="39" t="str">
        <f>IF($C109="","",MIN($L109*Capture*$M109*Conversion*Ticket,INDEX(CapacityPsf,AL109)*INDEX(Area,AL109)))</f>
        <v/>
      </c>
      <c r="O109" s="39" t="str">
        <f>IF($C109="","",INDEX(Area,AL109)*RentPsf*($L109/Fref)^RentElasticity)</f>
        <v/>
      </c>
      <c r="P109" s="39" t="str">
        <f>IF($C109="","",$O109+INDEX(RunOther,AL109))</f>
        <v/>
      </c>
      <c r="Q109" s="95" t="str">
        <f>IF($C109="","",$N109*ContribMargin-$P109-INDEX(LicPlan,AL109))</f>
        <v/>
      </c>
      <c r="R109" s="113" t="str">
        <f>IF($C109="","",IF(AND(AO109&gt;=$H109,AO109&gt;0),$H109/AO109,IF(AND(AO109+AP109&gt;=$H109,AP109&gt;0),1+($H109-AO109)/AP109,IF($Q109&gt;0,2+($H109-AO109-AP109)/$Q109,"Never"))))</f>
        <v/>
      </c>
      <c r="S109" s="39" t="str">
        <f>IF($C109="","",StockWeeks/52*$N109*(1-GrossMargin))</f>
        <v/>
      </c>
      <c r="U109" s="95">
        <f>IF(OR($C109="",U$21&lt;$B109),0,IF(U$21=$B109,OpenYearShare,1)*($N109*ContribMargin*IF(U$21=$B109,Ramp1,IF(U$21=$B109+1,Ramp2,1))-$P109-INDEX(LicByYear,AL109,U$21)))</f>
        <v>0</v>
      </c>
      <c r="V109" s="95">
        <f>IF(OR($C109="",V$21&lt;$B109),0,IF(V$21=$B109,OpenYearShare,1)*($N109*ContribMargin*IF(V$21=$B109,Ramp1,IF(V$21=$B109+1,Ramp2,1))-$P109-INDEX(LicByYear,AL109,V$21)))</f>
        <v>0</v>
      </c>
      <c r="W109" s="95">
        <f>IF(OR($C109="",W$21&lt;$B109),0,IF(W$21=$B109,OpenYearShare,1)*($N109*ContribMargin*IF(W$21=$B109,Ramp1,IF(W$21=$B109+1,Ramp2,1))-$P109-INDEX(LicByYear,AL109,W$21)))</f>
        <v>0</v>
      </c>
      <c r="X109" s="95">
        <f>IF(OR($C109="",X$21&lt;$B109),0,IF(X$21=$B109,OpenYearShare,1)*($N109*ContribMargin*IF(X$21=$B109,Ramp1,IF(X$21=$B109+1,Ramp2,1))-$P109-INDEX(LicByYear,AL109,X$21)))</f>
        <v>0</v>
      </c>
      <c r="Y109" s="95">
        <f>IF(OR($C109="",Y$21&lt;$B109),0,IF(Y$21=$B109,OpenYearShare,1)*($N109*ContribMargin*IF(Y$21=$B109,Ramp1,IF(Y$21=$B109+1,Ramp2,1))-$P109-INDEX(LicByYear,AL109,Y$21)))</f>
        <v>0</v>
      </c>
      <c r="Z109" s="95">
        <f>IF(OR($C109="",Z$21&lt;$B109),0,IF(Z$21=$B109,OpenYearShare,1)*($N109*ContribMargin*IF(Z$21=$B109,Ramp1,IF(Z$21=$B109+1,Ramp2,1))-$P109-INDEX(LicByYear,AL109,Z$21)))</f>
        <v>0</v>
      </c>
      <c r="AA109" s="95">
        <f>IF(OR($C109="",AA$21&lt;$B109),0,IF(AA$21=$B109,OpenYearShare,1)*($N109*ContribMargin*IF(AA$21=$B109,Ramp1,IF(AA$21=$B109+1,Ramp2,1))-$P109-INDEX(LicByYear,AL109,AA$21)))</f>
        <v>0</v>
      </c>
      <c r="AB109" s="95">
        <f>IF(OR($C109="",AB$21&lt;$B109),0,IF(AB$21=$B109,OpenYearShare,1)*($N109*ContribMargin*IF(AB$21=$B109,Ramp1,IF(AB$21=$B109+1,Ramp2,1))-$P109-INDEX(LicByYear,AL109,AB$21)))</f>
        <v>0</v>
      </c>
      <c r="AC109" s="95">
        <f>IF(OR($C109="",AC$21&lt;$B109),0,IF(AC$21=$B109,OpenYearShare,1)*($N109*ContribMargin*IF(AC$21=$B109,Ramp1,IF(AC$21=$B109+1,Ramp2,1))-$P109-INDEX(LicByYear,AL109,AC$21)))</f>
        <v>0</v>
      </c>
      <c r="AD109" s="95">
        <f>IF(OR($C109="",AD$21&lt;$B109),0,IF(AD$21=$B109,OpenYearShare,1)*($N109*ContribMargin*IF(AD$21=$B109,Ramp1,IF(AD$21=$B109+1,Ramp2,1))-$P109-INDEX(LicByYear,AL109,AD$21)))</f>
        <v>0</v>
      </c>
      <c r="AF109" s="82">
        <f>AF108+IF($C109="SPLUS",1,0)</f>
        <v>7</v>
      </c>
      <c r="AG109" s="82">
        <f>AG108+IF($C109="S",1,0)</f>
        <v>15</v>
      </c>
      <c r="AH109" s="82">
        <f>AH108+IF($C109="D",1,0)</f>
        <v>8</v>
      </c>
      <c r="AI109" s="105">
        <f>IF(OR($A109&gt;PlanStores,AF108&gt;=INDEX(Target,1)),-1000000000,INDEX(Target,1)*$A109-AF108*PlanStores)</f>
        <v>-1000000000</v>
      </c>
      <c r="AJ109" s="105">
        <f>IF(OR($A109&gt;PlanStores,AG108&gt;=INDEX(Target,2)),-1000000000,INDEX(Target,2)*$A109-AG108*PlanStores)</f>
        <v>-1000000000</v>
      </c>
      <c r="AK109" s="105">
        <f>IF(OR($A109&gt;PlanStores,AH108&gt;=INDEX(Target,3)),-1000000000,INDEX(Target,3)*$A109-AH108*PlanStores)</f>
        <v>-1000000000</v>
      </c>
      <c r="AL109" s="82" t="str">
        <f>IF($C109="","",MATCH($C109,TierCodes,0))</f>
        <v/>
      </c>
      <c r="AM109" s="82" t="str">
        <f>IF($C109="","",IF(OR(StreetChoice="Typical street for its size",INDEX(Cand,AL109)=0),"",MOD($D109-1,INDEX(Cand,AL109))+1))</f>
        <v/>
      </c>
      <c r="AN109" s="82" t="str">
        <f>IF(AM109="","",MATCH($C109&amp;"|"&amp;AM109,Melbourne!$AA$58:$AA$135,0))</f>
        <v/>
      </c>
      <c r="AO109" s="76" t="str">
        <f>IF($C109="","",Ramp1*$N109*ContribMargin-$P109-INDEX(LicPlan,AL109))</f>
        <v/>
      </c>
      <c r="AP109" s="76" t="str">
        <f>IF($C109="","",Ramp2*$N109*ContribMargin-$P109-INDEX(LicPlan,AL109))</f>
        <v/>
      </c>
      <c r="AR109" s="61" t="str">
        <f>IF($C109="","",MAX(Scale!$C$7,($D109+Scale!$C$8*($A109-$D109))^LOG(Scale!$C$6,2)))</f>
        <v/>
      </c>
      <c r="AS109" s="61" t="str">
        <f>IF($C109="","",1-IF(IF(Deal="Commit to the full plan",PlanStores,$A109)&gt;=PBAt4,Scale!$C$12,IF(IF(Deal="Commit to the full plan",PlanStores,$A109)&gt;=PBAt3,Scale!$C$11,IF(IF(Deal="Commit to the full plan",PlanStores,$A109)&gt;=PBAt2,Scale!$C$10,IF(IF(Deal="Commit to the full plan",PlanStores,$A109)&gt;=PBAt1,Scale!$C$9,0)))))</f>
        <v/>
      </c>
      <c r="AT109" s="61" t="str">
        <f>IF($C109="","",MAX(Scale!$D$7,($D109+Scale!$D$8*($A109-$D109))^LOG(Scale!$D$6,2)))</f>
        <v/>
      </c>
      <c r="AU109" s="61" t="str">
        <f>IF($C109="","",1-IF(IF(Deal="Commit to the full plan",PlanStores,$A109)&gt;=PBAt4,Scale!$D$12,IF(IF(Deal="Commit to the full plan",PlanStores,$A109)&gt;=PBAt3,Scale!$D$11,IF(IF(Deal="Commit to the full plan",PlanStores,$A109)&gt;=PBAt2,Scale!$D$10,IF(IF(Deal="Commit to the full plan",PlanStores,$A109)&gt;=PBAt1,Scale!$D$9,0)))))</f>
        <v/>
      </c>
      <c r="AV109" s="61" t="str">
        <f>IF($C109="","",MAX(Scale!$E$7,($D109+Scale!$E$8*($A109-$D109))^LOG(Scale!$E$6,2)))</f>
        <v/>
      </c>
      <c r="AW109" s="61" t="str">
        <f>IF($C109="","",1-IF(IF(Deal="Commit to the full plan",PlanStores,$A109)&gt;=PBAt4,Scale!$E$12,IF(IF(Deal="Commit to the full plan",PlanStores,$A109)&gt;=PBAt3,Scale!$E$11,IF(IF(Deal="Commit to the full plan",PlanStores,$A109)&gt;=PBAt2,Scale!$E$10,IF(IF(Deal="Commit to the full plan",PlanStores,$A109)&gt;=PBAt1,Scale!$E$9,0)))))</f>
        <v/>
      </c>
    </row>
    <row r="110">
      <c r="A110" s="110" t="n">
        <v>89</v>
      </c>
      <c r="B110" s="111" t="str">
        <f>IF($A110&gt;PlanStores,"",1+COUNTIF(CumOpenings,"&lt;"&amp;$A110))</f>
        <v/>
      </c>
      <c r="C110" s="14" t="str">
        <f>IF($A110&gt;PlanStores,"",IF(AND($A110=1,FlagshipFirst="Yes",INDEX(Target,1)&gt;0),"SPLUS",IF(AND(AI110&gt;=AJ110,AI110&gt;=AK110),"SPLUS",IF(AJ110&gt;=AK110,"S","D"))))</f>
        <v/>
      </c>
      <c r="D110" s="111" t="str">
        <f>IF($C110="","",IF($C110="SPLUS",AF110,IF($C110="S",AG110,AH110)))</f>
        <v/>
      </c>
      <c r="E110" s="112" t="str">
        <f>IF($C110="","",$D110+LearnShared*($A110-$D110))</f>
        <v/>
      </c>
      <c r="F110" s="85" t="str">
        <f>IF($C110="","",MAX(LearnFloor,$E110^LOG(LearnRate,2)))</f>
        <v/>
      </c>
      <c r="G110" s="85" t="str">
        <f>IF($C110="","",1-IF(IF(Deal="Commit to the full plan",PlanStores,$A110)&gt;=PBAt4,PBDisc4,IF(IF(Deal="Commit to the full plan",PlanStores,$A110)&gt;=PBAt3,PBDisc3,IF(IF(Deal="Commit to the full plan",PlanStores,$A110)&gt;=PBAt2,PBDisc2,IF(IF(Deal="Commit to the full plan",PlanStores,$A110)&gt;=PBAt1,PBDisc1,0)))))</f>
        <v/>
      </c>
      <c r="H110" s="39" t="str">
        <f>IF($C110="","",INDEX(BaseL,AL110)*$F110+INDEX(BaseV,AL110)*$G110+INDEX(BaseN,AL110))</f>
        <v/>
      </c>
      <c r="I110" s="39" t="str">
        <f>IF($C110="","",$H110*(1+BuildInflation)^($B110-1))</f>
        <v/>
      </c>
      <c r="J110" s="40" t="str">
        <f>IF($C110="","",IF(AN110="",IF(INDEX(Cand,AL110)=0,"No street of this size","Typical "&amp;LOWER(INDEX(TierNames,AL110))&amp;" street"),INDEX(Melbourne!$B$58:$B$135,AN110)))</f>
        <v/>
      </c>
      <c r="K110" s="40" t="str">
        <f>IF(OR($C110="",AN110=""),"",INDEX(Melbourne!$C$58:$C$135,AN110))</f>
        <v/>
      </c>
      <c r="L110" s="46" t="str">
        <f>IF($C110="","",IF(AN110="",INDEX(TypicalF,AL110),INDEX(Melbourne!$E$58:$E$135,AN110)))</f>
        <v/>
      </c>
      <c r="M110" s="86" t="str">
        <f>IF($C110="","",IF(AN110="",INDEX(TypicalQ,AL110),INDEX(Melbourne!$N$58:$N$135,AN110)))</f>
        <v/>
      </c>
      <c r="N110" s="39" t="str">
        <f>IF($C110="","",MIN($L110*Capture*$M110*Conversion*Ticket,INDEX(CapacityPsf,AL110)*INDEX(Area,AL110)))</f>
        <v/>
      </c>
      <c r="O110" s="39" t="str">
        <f>IF($C110="","",INDEX(Area,AL110)*RentPsf*($L110/Fref)^RentElasticity)</f>
        <v/>
      </c>
      <c r="P110" s="39" t="str">
        <f>IF($C110="","",$O110+INDEX(RunOther,AL110))</f>
        <v/>
      </c>
      <c r="Q110" s="95" t="str">
        <f>IF($C110="","",$N110*ContribMargin-$P110-INDEX(LicPlan,AL110))</f>
        <v/>
      </c>
      <c r="R110" s="113" t="str">
        <f>IF($C110="","",IF(AND(AO110&gt;=$H110,AO110&gt;0),$H110/AO110,IF(AND(AO110+AP110&gt;=$H110,AP110&gt;0),1+($H110-AO110)/AP110,IF($Q110&gt;0,2+($H110-AO110-AP110)/$Q110,"Never"))))</f>
        <v/>
      </c>
      <c r="S110" s="39" t="str">
        <f>IF($C110="","",StockWeeks/52*$N110*(1-GrossMargin))</f>
        <v/>
      </c>
      <c r="U110" s="95">
        <f>IF(OR($C110="",U$21&lt;$B110),0,IF(U$21=$B110,OpenYearShare,1)*($N110*ContribMargin*IF(U$21=$B110,Ramp1,IF(U$21=$B110+1,Ramp2,1))-$P110-INDEX(LicByYear,AL110,U$21)))</f>
        <v>0</v>
      </c>
      <c r="V110" s="95">
        <f>IF(OR($C110="",V$21&lt;$B110),0,IF(V$21=$B110,OpenYearShare,1)*($N110*ContribMargin*IF(V$21=$B110,Ramp1,IF(V$21=$B110+1,Ramp2,1))-$P110-INDEX(LicByYear,AL110,V$21)))</f>
        <v>0</v>
      </c>
      <c r="W110" s="95">
        <f>IF(OR($C110="",W$21&lt;$B110),0,IF(W$21=$B110,OpenYearShare,1)*($N110*ContribMargin*IF(W$21=$B110,Ramp1,IF(W$21=$B110+1,Ramp2,1))-$P110-INDEX(LicByYear,AL110,W$21)))</f>
        <v>0</v>
      </c>
      <c r="X110" s="95">
        <f>IF(OR($C110="",X$21&lt;$B110),0,IF(X$21=$B110,OpenYearShare,1)*($N110*ContribMargin*IF(X$21=$B110,Ramp1,IF(X$21=$B110+1,Ramp2,1))-$P110-INDEX(LicByYear,AL110,X$21)))</f>
        <v>0</v>
      </c>
      <c r="Y110" s="95">
        <f>IF(OR($C110="",Y$21&lt;$B110),0,IF(Y$21=$B110,OpenYearShare,1)*($N110*ContribMargin*IF(Y$21=$B110,Ramp1,IF(Y$21=$B110+1,Ramp2,1))-$P110-INDEX(LicByYear,AL110,Y$21)))</f>
        <v>0</v>
      </c>
      <c r="Z110" s="95">
        <f>IF(OR($C110="",Z$21&lt;$B110),0,IF(Z$21=$B110,OpenYearShare,1)*($N110*ContribMargin*IF(Z$21=$B110,Ramp1,IF(Z$21=$B110+1,Ramp2,1))-$P110-INDEX(LicByYear,AL110,Z$21)))</f>
        <v>0</v>
      </c>
      <c r="AA110" s="95">
        <f>IF(OR($C110="",AA$21&lt;$B110),0,IF(AA$21=$B110,OpenYearShare,1)*($N110*ContribMargin*IF(AA$21=$B110,Ramp1,IF(AA$21=$B110+1,Ramp2,1))-$P110-INDEX(LicByYear,AL110,AA$21)))</f>
        <v>0</v>
      </c>
      <c r="AB110" s="95">
        <f>IF(OR($C110="",AB$21&lt;$B110),0,IF(AB$21=$B110,OpenYearShare,1)*($N110*ContribMargin*IF(AB$21=$B110,Ramp1,IF(AB$21=$B110+1,Ramp2,1))-$P110-INDEX(LicByYear,AL110,AB$21)))</f>
        <v>0</v>
      </c>
      <c r="AC110" s="95">
        <f>IF(OR($C110="",AC$21&lt;$B110),0,IF(AC$21=$B110,OpenYearShare,1)*($N110*ContribMargin*IF(AC$21=$B110,Ramp1,IF(AC$21=$B110+1,Ramp2,1))-$P110-INDEX(LicByYear,AL110,AC$21)))</f>
        <v>0</v>
      </c>
      <c r="AD110" s="95">
        <f>IF(OR($C110="",AD$21&lt;$B110),0,IF(AD$21=$B110,OpenYearShare,1)*($N110*ContribMargin*IF(AD$21=$B110,Ramp1,IF(AD$21=$B110+1,Ramp2,1))-$P110-INDEX(LicByYear,AL110,AD$21)))</f>
        <v>0</v>
      </c>
      <c r="AF110" s="82">
        <f>AF109+IF($C110="SPLUS",1,0)</f>
        <v>7</v>
      </c>
      <c r="AG110" s="82">
        <f>AG109+IF($C110="S",1,0)</f>
        <v>15</v>
      </c>
      <c r="AH110" s="82">
        <f>AH109+IF($C110="D",1,0)</f>
        <v>8</v>
      </c>
      <c r="AI110" s="105">
        <f>IF(OR($A110&gt;PlanStores,AF109&gt;=INDEX(Target,1)),-1000000000,INDEX(Target,1)*$A110-AF109*PlanStores)</f>
        <v>-1000000000</v>
      </c>
      <c r="AJ110" s="105">
        <f>IF(OR($A110&gt;PlanStores,AG109&gt;=INDEX(Target,2)),-1000000000,INDEX(Target,2)*$A110-AG109*PlanStores)</f>
        <v>-1000000000</v>
      </c>
      <c r="AK110" s="105">
        <f>IF(OR($A110&gt;PlanStores,AH109&gt;=INDEX(Target,3)),-1000000000,INDEX(Target,3)*$A110-AH109*PlanStores)</f>
        <v>-1000000000</v>
      </c>
      <c r="AL110" s="82" t="str">
        <f>IF($C110="","",MATCH($C110,TierCodes,0))</f>
        <v/>
      </c>
      <c r="AM110" s="82" t="str">
        <f>IF($C110="","",IF(OR(StreetChoice="Typical street for its size",INDEX(Cand,AL110)=0),"",MOD($D110-1,INDEX(Cand,AL110))+1))</f>
        <v/>
      </c>
      <c r="AN110" s="82" t="str">
        <f>IF(AM110="","",MATCH($C110&amp;"|"&amp;AM110,Melbourne!$AA$58:$AA$135,0))</f>
        <v/>
      </c>
      <c r="AO110" s="76" t="str">
        <f>IF($C110="","",Ramp1*$N110*ContribMargin-$P110-INDEX(LicPlan,AL110))</f>
        <v/>
      </c>
      <c r="AP110" s="76" t="str">
        <f>IF($C110="","",Ramp2*$N110*ContribMargin-$P110-INDEX(LicPlan,AL110))</f>
        <v/>
      </c>
      <c r="AR110" s="61" t="str">
        <f>IF($C110="","",MAX(Scale!$C$7,($D110+Scale!$C$8*($A110-$D110))^LOG(Scale!$C$6,2)))</f>
        <v/>
      </c>
      <c r="AS110" s="61" t="str">
        <f>IF($C110="","",1-IF(IF(Deal="Commit to the full plan",PlanStores,$A110)&gt;=PBAt4,Scale!$C$12,IF(IF(Deal="Commit to the full plan",PlanStores,$A110)&gt;=PBAt3,Scale!$C$11,IF(IF(Deal="Commit to the full plan",PlanStores,$A110)&gt;=PBAt2,Scale!$C$10,IF(IF(Deal="Commit to the full plan",PlanStores,$A110)&gt;=PBAt1,Scale!$C$9,0)))))</f>
        <v/>
      </c>
      <c r="AT110" s="61" t="str">
        <f>IF($C110="","",MAX(Scale!$D$7,($D110+Scale!$D$8*($A110-$D110))^LOG(Scale!$D$6,2)))</f>
        <v/>
      </c>
      <c r="AU110" s="61" t="str">
        <f>IF($C110="","",1-IF(IF(Deal="Commit to the full plan",PlanStores,$A110)&gt;=PBAt4,Scale!$D$12,IF(IF(Deal="Commit to the full plan",PlanStores,$A110)&gt;=PBAt3,Scale!$D$11,IF(IF(Deal="Commit to the full plan",PlanStores,$A110)&gt;=PBAt2,Scale!$D$10,IF(IF(Deal="Commit to the full plan",PlanStores,$A110)&gt;=PBAt1,Scale!$D$9,0)))))</f>
        <v/>
      </c>
      <c r="AV110" s="61" t="str">
        <f>IF($C110="","",MAX(Scale!$E$7,($D110+Scale!$E$8*($A110-$D110))^LOG(Scale!$E$6,2)))</f>
        <v/>
      </c>
      <c r="AW110" s="61" t="str">
        <f>IF($C110="","",1-IF(IF(Deal="Commit to the full plan",PlanStores,$A110)&gt;=PBAt4,Scale!$E$12,IF(IF(Deal="Commit to the full plan",PlanStores,$A110)&gt;=PBAt3,Scale!$E$11,IF(IF(Deal="Commit to the full plan",PlanStores,$A110)&gt;=PBAt2,Scale!$E$10,IF(IF(Deal="Commit to the full plan",PlanStores,$A110)&gt;=PBAt1,Scale!$E$9,0)))))</f>
        <v/>
      </c>
    </row>
    <row r="111">
      <c r="A111" s="110" t="n">
        <v>90</v>
      </c>
      <c r="B111" s="111" t="str">
        <f>IF($A111&gt;PlanStores,"",1+COUNTIF(CumOpenings,"&lt;"&amp;$A111))</f>
        <v/>
      </c>
      <c r="C111" s="14" t="str">
        <f>IF($A111&gt;PlanStores,"",IF(AND($A111=1,FlagshipFirst="Yes",INDEX(Target,1)&gt;0),"SPLUS",IF(AND(AI111&gt;=AJ111,AI111&gt;=AK111),"SPLUS",IF(AJ111&gt;=AK111,"S","D"))))</f>
        <v/>
      </c>
      <c r="D111" s="111" t="str">
        <f>IF($C111="","",IF($C111="SPLUS",AF111,IF($C111="S",AG111,AH111)))</f>
        <v/>
      </c>
      <c r="E111" s="112" t="str">
        <f>IF($C111="","",$D111+LearnShared*($A111-$D111))</f>
        <v/>
      </c>
      <c r="F111" s="85" t="str">
        <f>IF($C111="","",MAX(LearnFloor,$E111^LOG(LearnRate,2)))</f>
        <v/>
      </c>
      <c r="G111" s="85" t="str">
        <f>IF($C111="","",1-IF(IF(Deal="Commit to the full plan",PlanStores,$A111)&gt;=PBAt4,PBDisc4,IF(IF(Deal="Commit to the full plan",PlanStores,$A111)&gt;=PBAt3,PBDisc3,IF(IF(Deal="Commit to the full plan",PlanStores,$A111)&gt;=PBAt2,PBDisc2,IF(IF(Deal="Commit to the full plan",PlanStores,$A111)&gt;=PBAt1,PBDisc1,0)))))</f>
        <v/>
      </c>
      <c r="H111" s="39" t="str">
        <f>IF($C111="","",INDEX(BaseL,AL111)*$F111+INDEX(BaseV,AL111)*$G111+INDEX(BaseN,AL111))</f>
        <v/>
      </c>
      <c r="I111" s="39" t="str">
        <f>IF($C111="","",$H111*(1+BuildInflation)^($B111-1))</f>
        <v/>
      </c>
      <c r="J111" s="40" t="str">
        <f>IF($C111="","",IF(AN111="",IF(INDEX(Cand,AL111)=0,"No street of this size","Typical "&amp;LOWER(INDEX(TierNames,AL111))&amp;" street"),INDEX(Melbourne!$B$58:$B$135,AN111)))</f>
        <v/>
      </c>
      <c r="K111" s="40" t="str">
        <f>IF(OR($C111="",AN111=""),"",INDEX(Melbourne!$C$58:$C$135,AN111))</f>
        <v/>
      </c>
      <c r="L111" s="46" t="str">
        <f>IF($C111="","",IF(AN111="",INDEX(TypicalF,AL111),INDEX(Melbourne!$E$58:$E$135,AN111)))</f>
        <v/>
      </c>
      <c r="M111" s="86" t="str">
        <f>IF($C111="","",IF(AN111="",INDEX(TypicalQ,AL111),INDEX(Melbourne!$N$58:$N$135,AN111)))</f>
        <v/>
      </c>
      <c r="N111" s="39" t="str">
        <f>IF($C111="","",MIN($L111*Capture*$M111*Conversion*Ticket,INDEX(CapacityPsf,AL111)*INDEX(Area,AL111)))</f>
        <v/>
      </c>
      <c r="O111" s="39" t="str">
        <f>IF($C111="","",INDEX(Area,AL111)*RentPsf*($L111/Fref)^RentElasticity)</f>
        <v/>
      </c>
      <c r="P111" s="39" t="str">
        <f>IF($C111="","",$O111+INDEX(RunOther,AL111))</f>
        <v/>
      </c>
      <c r="Q111" s="95" t="str">
        <f>IF($C111="","",$N111*ContribMargin-$P111-INDEX(LicPlan,AL111))</f>
        <v/>
      </c>
      <c r="R111" s="113" t="str">
        <f>IF($C111="","",IF(AND(AO111&gt;=$H111,AO111&gt;0),$H111/AO111,IF(AND(AO111+AP111&gt;=$H111,AP111&gt;0),1+($H111-AO111)/AP111,IF($Q111&gt;0,2+($H111-AO111-AP111)/$Q111,"Never"))))</f>
        <v/>
      </c>
      <c r="S111" s="39" t="str">
        <f>IF($C111="","",StockWeeks/52*$N111*(1-GrossMargin))</f>
        <v/>
      </c>
      <c r="U111" s="95">
        <f>IF(OR($C111="",U$21&lt;$B111),0,IF(U$21=$B111,OpenYearShare,1)*($N111*ContribMargin*IF(U$21=$B111,Ramp1,IF(U$21=$B111+1,Ramp2,1))-$P111-INDEX(LicByYear,AL111,U$21)))</f>
        <v>0</v>
      </c>
      <c r="V111" s="95">
        <f>IF(OR($C111="",V$21&lt;$B111),0,IF(V$21=$B111,OpenYearShare,1)*($N111*ContribMargin*IF(V$21=$B111,Ramp1,IF(V$21=$B111+1,Ramp2,1))-$P111-INDEX(LicByYear,AL111,V$21)))</f>
        <v>0</v>
      </c>
      <c r="W111" s="95">
        <f>IF(OR($C111="",W$21&lt;$B111),0,IF(W$21=$B111,OpenYearShare,1)*($N111*ContribMargin*IF(W$21=$B111,Ramp1,IF(W$21=$B111+1,Ramp2,1))-$P111-INDEX(LicByYear,AL111,W$21)))</f>
        <v>0</v>
      </c>
      <c r="X111" s="95">
        <f>IF(OR($C111="",X$21&lt;$B111),0,IF(X$21=$B111,OpenYearShare,1)*($N111*ContribMargin*IF(X$21=$B111,Ramp1,IF(X$21=$B111+1,Ramp2,1))-$P111-INDEX(LicByYear,AL111,X$21)))</f>
        <v>0</v>
      </c>
      <c r="Y111" s="95">
        <f>IF(OR($C111="",Y$21&lt;$B111),0,IF(Y$21=$B111,OpenYearShare,1)*($N111*ContribMargin*IF(Y$21=$B111,Ramp1,IF(Y$21=$B111+1,Ramp2,1))-$P111-INDEX(LicByYear,AL111,Y$21)))</f>
        <v>0</v>
      </c>
      <c r="Z111" s="95">
        <f>IF(OR($C111="",Z$21&lt;$B111),0,IF(Z$21=$B111,OpenYearShare,1)*($N111*ContribMargin*IF(Z$21=$B111,Ramp1,IF(Z$21=$B111+1,Ramp2,1))-$P111-INDEX(LicByYear,AL111,Z$21)))</f>
        <v>0</v>
      </c>
      <c r="AA111" s="95">
        <f>IF(OR($C111="",AA$21&lt;$B111),0,IF(AA$21=$B111,OpenYearShare,1)*($N111*ContribMargin*IF(AA$21=$B111,Ramp1,IF(AA$21=$B111+1,Ramp2,1))-$P111-INDEX(LicByYear,AL111,AA$21)))</f>
        <v>0</v>
      </c>
      <c r="AB111" s="95">
        <f>IF(OR($C111="",AB$21&lt;$B111),0,IF(AB$21=$B111,OpenYearShare,1)*($N111*ContribMargin*IF(AB$21=$B111,Ramp1,IF(AB$21=$B111+1,Ramp2,1))-$P111-INDEX(LicByYear,AL111,AB$21)))</f>
        <v>0</v>
      </c>
      <c r="AC111" s="95">
        <f>IF(OR($C111="",AC$21&lt;$B111),0,IF(AC$21=$B111,OpenYearShare,1)*($N111*ContribMargin*IF(AC$21=$B111,Ramp1,IF(AC$21=$B111+1,Ramp2,1))-$P111-INDEX(LicByYear,AL111,AC$21)))</f>
        <v>0</v>
      </c>
      <c r="AD111" s="95">
        <f>IF(OR($C111="",AD$21&lt;$B111),0,IF(AD$21=$B111,OpenYearShare,1)*($N111*ContribMargin*IF(AD$21=$B111,Ramp1,IF(AD$21=$B111+1,Ramp2,1))-$P111-INDEX(LicByYear,AL111,AD$21)))</f>
        <v>0</v>
      </c>
      <c r="AF111" s="82">
        <f>AF110+IF($C111="SPLUS",1,0)</f>
        <v>7</v>
      </c>
      <c r="AG111" s="82">
        <f>AG110+IF($C111="S",1,0)</f>
        <v>15</v>
      </c>
      <c r="AH111" s="82">
        <f>AH110+IF($C111="D",1,0)</f>
        <v>8</v>
      </c>
      <c r="AI111" s="105">
        <f>IF(OR($A111&gt;PlanStores,AF110&gt;=INDEX(Target,1)),-1000000000,INDEX(Target,1)*$A111-AF110*PlanStores)</f>
        <v>-1000000000</v>
      </c>
      <c r="AJ111" s="105">
        <f>IF(OR($A111&gt;PlanStores,AG110&gt;=INDEX(Target,2)),-1000000000,INDEX(Target,2)*$A111-AG110*PlanStores)</f>
        <v>-1000000000</v>
      </c>
      <c r="AK111" s="105">
        <f>IF(OR($A111&gt;PlanStores,AH110&gt;=INDEX(Target,3)),-1000000000,INDEX(Target,3)*$A111-AH110*PlanStores)</f>
        <v>-1000000000</v>
      </c>
      <c r="AL111" s="82" t="str">
        <f>IF($C111="","",MATCH($C111,TierCodes,0))</f>
        <v/>
      </c>
      <c r="AM111" s="82" t="str">
        <f>IF($C111="","",IF(OR(StreetChoice="Typical street for its size",INDEX(Cand,AL111)=0),"",MOD($D111-1,INDEX(Cand,AL111))+1))</f>
        <v/>
      </c>
      <c r="AN111" s="82" t="str">
        <f>IF(AM111="","",MATCH($C111&amp;"|"&amp;AM111,Melbourne!$AA$58:$AA$135,0))</f>
        <v/>
      </c>
      <c r="AO111" s="76" t="str">
        <f>IF($C111="","",Ramp1*$N111*ContribMargin-$P111-INDEX(LicPlan,AL111))</f>
        <v/>
      </c>
      <c r="AP111" s="76" t="str">
        <f>IF($C111="","",Ramp2*$N111*ContribMargin-$P111-INDEX(LicPlan,AL111))</f>
        <v/>
      </c>
      <c r="AR111" s="61" t="str">
        <f>IF($C111="","",MAX(Scale!$C$7,($D111+Scale!$C$8*($A111-$D111))^LOG(Scale!$C$6,2)))</f>
        <v/>
      </c>
      <c r="AS111" s="61" t="str">
        <f>IF($C111="","",1-IF(IF(Deal="Commit to the full plan",PlanStores,$A111)&gt;=PBAt4,Scale!$C$12,IF(IF(Deal="Commit to the full plan",PlanStores,$A111)&gt;=PBAt3,Scale!$C$11,IF(IF(Deal="Commit to the full plan",PlanStores,$A111)&gt;=PBAt2,Scale!$C$10,IF(IF(Deal="Commit to the full plan",PlanStores,$A111)&gt;=PBAt1,Scale!$C$9,0)))))</f>
        <v/>
      </c>
      <c r="AT111" s="61" t="str">
        <f>IF($C111="","",MAX(Scale!$D$7,($D111+Scale!$D$8*($A111-$D111))^LOG(Scale!$D$6,2)))</f>
        <v/>
      </c>
      <c r="AU111" s="61" t="str">
        <f>IF($C111="","",1-IF(IF(Deal="Commit to the full plan",PlanStores,$A111)&gt;=PBAt4,Scale!$D$12,IF(IF(Deal="Commit to the full plan",PlanStores,$A111)&gt;=PBAt3,Scale!$D$11,IF(IF(Deal="Commit to the full plan",PlanStores,$A111)&gt;=PBAt2,Scale!$D$10,IF(IF(Deal="Commit to the full plan",PlanStores,$A111)&gt;=PBAt1,Scale!$D$9,0)))))</f>
        <v/>
      </c>
      <c r="AV111" s="61" t="str">
        <f>IF($C111="","",MAX(Scale!$E$7,($D111+Scale!$E$8*($A111-$D111))^LOG(Scale!$E$6,2)))</f>
        <v/>
      </c>
      <c r="AW111" s="61" t="str">
        <f>IF($C111="","",1-IF(IF(Deal="Commit to the full plan",PlanStores,$A111)&gt;=PBAt4,Scale!$E$12,IF(IF(Deal="Commit to the full plan",PlanStores,$A111)&gt;=PBAt3,Scale!$E$11,IF(IF(Deal="Commit to the full plan",PlanStores,$A111)&gt;=PBAt2,Scale!$E$10,IF(IF(Deal="Commit to the full plan",PlanStores,$A111)&gt;=PBAt1,Scale!$E$9,0)))))</f>
        <v/>
      </c>
    </row>
    <row r="112">
      <c r="A112" s="110" t="n">
        <v>91</v>
      </c>
      <c r="B112" s="111" t="str">
        <f>IF($A112&gt;PlanStores,"",1+COUNTIF(CumOpenings,"&lt;"&amp;$A112))</f>
        <v/>
      </c>
      <c r="C112" s="14" t="str">
        <f>IF($A112&gt;PlanStores,"",IF(AND($A112=1,FlagshipFirst="Yes",INDEX(Target,1)&gt;0),"SPLUS",IF(AND(AI112&gt;=AJ112,AI112&gt;=AK112),"SPLUS",IF(AJ112&gt;=AK112,"S","D"))))</f>
        <v/>
      </c>
      <c r="D112" s="111" t="str">
        <f>IF($C112="","",IF($C112="SPLUS",AF112,IF($C112="S",AG112,AH112)))</f>
        <v/>
      </c>
      <c r="E112" s="112" t="str">
        <f>IF($C112="","",$D112+LearnShared*($A112-$D112))</f>
        <v/>
      </c>
      <c r="F112" s="85" t="str">
        <f>IF($C112="","",MAX(LearnFloor,$E112^LOG(LearnRate,2)))</f>
        <v/>
      </c>
      <c r="G112" s="85" t="str">
        <f>IF($C112="","",1-IF(IF(Deal="Commit to the full plan",PlanStores,$A112)&gt;=PBAt4,PBDisc4,IF(IF(Deal="Commit to the full plan",PlanStores,$A112)&gt;=PBAt3,PBDisc3,IF(IF(Deal="Commit to the full plan",PlanStores,$A112)&gt;=PBAt2,PBDisc2,IF(IF(Deal="Commit to the full plan",PlanStores,$A112)&gt;=PBAt1,PBDisc1,0)))))</f>
        <v/>
      </c>
      <c r="H112" s="39" t="str">
        <f>IF($C112="","",INDEX(BaseL,AL112)*$F112+INDEX(BaseV,AL112)*$G112+INDEX(BaseN,AL112))</f>
        <v/>
      </c>
      <c r="I112" s="39" t="str">
        <f>IF($C112="","",$H112*(1+BuildInflation)^($B112-1))</f>
        <v/>
      </c>
      <c r="J112" s="40" t="str">
        <f>IF($C112="","",IF(AN112="",IF(INDEX(Cand,AL112)=0,"No street of this size","Typical "&amp;LOWER(INDEX(TierNames,AL112))&amp;" street"),INDEX(Melbourne!$B$58:$B$135,AN112)))</f>
        <v/>
      </c>
      <c r="K112" s="40" t="str">
        <f>IF(OR($C112="",AN112=""),"",INDEX(Melbourne!$C$58:$C$135,AN112))</f>
        <v/>
      </c>
      <c r="L112" s="46" t="str">
        <f>IF($C112="","",IF(AN112="",INDEX(TypicalF,AL112),INDEX(Melbourne!$E$58:$E$135,AN112)))</f>
        <v/>
      </c>
      <c r="M112" s="86" t="str">
        <f>IF($C112="","",IF(AN112="",INDEX(TypicalQ,AL112),INDEX(Melbourne!$N$58:$N$135,AN112)))</f>
        <v/>
      </c>
      <c r="N112" s="39" t="str">
        <f>IF($C112="","",MIN($L112*Capture*$M112*Conversion*Ticket,INDEX(CapacityPsf,AL112)*INDEX(Area,AL112)))</f>
        <v/>
      </c>
      <c r="O112" s="39" t="str">
        <f>IF($C112="","",INDEX(Area,AL112)*RentPsf*($L112/Fref)^RentElasticity)</f>
        <v/>
      </c>
      <c r="P112" s="39" t="str">
        <f>IF($C112="","",$O112+INDEX(RunOther,AL112))</f>
        <v/>
      </c>
      <c r="Q112" s="95" t="str">
        <f>IF($C112="","",$N112*ContribMargin-$P112-INDEX(LicPlan,AL112))</f>
        <v/>
      </c>
      <c r="R112" s="113" t="str">
        <f>IF($C112="","",IF(AND(AO112&gt;=$H112,AO112&gt;0),$H112/AO112,IF(AND(AO112+AP112&gt;=$H112,AP112&gt;0),1+($H112-AO112)/AP112,IF($Q112&gt;0,2+($H112-AO112-AP112)/$Q112,"Never"))))</f>
        <v/>
      </c>
      <c r="S112" s="39" t="str">
        <f>IF($C112="","",StockWeeks/52*$N112*(1-GrossMargin))</f>
        <v/>
      </c>
      <c r="U112" s="95">
        <f>IF(OR($C112="",U$21&lt;$B112),0,IF(U$21=$B112,OpenYearShare,1)*($N112*ContribMargin*IF(U$21=$B112,Ramp1,IF(U$21=$B112+1,Ramp2,1))-$P112-INDEX(LicByYear,AL112,U$21)))</f>
        <v>0</v>
      </c>
      <c r="V112" s="95">
        <f>IF(OR($C112="",V$21&lt;$B112),0,IF(V$21=$B112,OpenYearShare,1)*($N112*ContribMargin*IF(V$21=$B112,Ramp1,IF(V$21=$B112+1,Ramp2,1))-$P112-INDEX(LicByYear,AL112,V$21)))</f>
        <v>0</v>
      </c>
      <c r="W112" s="95">
        <f>IF(OR($C112="",W$21&lt;$B112),0,IF(W$21=$B112,OpenYearShare,1)*($N112*ContribMargin*IF(W$21=$B112,Ramp1,IF(W$21=$B112+1,Ramp2,1))-$P112-INDEX(LicByYear,AL112,W$21)))</f>
        <v>0</v>
      </c>
      <c r="X112" s="95">
        <f>IF(OR($C112="",X$21&lt;$B112),0,IF(X$21=$B112,OpenYearShare,1)*($N112*ContribMargin*IF(X$21=$B112,Ramp1,IF(X$21=$B112+1,Ramp2,1))-$P112-INDEX(LicByYear,AL112,X$21)))</f>
        <v>0</v>
      </c>
      <c r="Y112" s="95">
        <f>IF(OR($C112="",Y$21&lt;$B112),0,IF(Y$21=$B112,OpenYearShare,1)*($N112*ContribMargin*IF(Y$21=$B112,Ramp1,IF(Y$21=$B112+1,Ramp2,1))-$P112-INDEX(LicByYear,AL112,Y$21)))</f>
        <v>0</v>
      </c>
      <c r="Z112" s="95">
        <f>IF(OR($C112="",Z$21&lt;$B112),0,IF(Z$21=$B112,OpenYearShare,1)*($N112*ContribMargin*IF(Z$21=$B112,Ramp1,IF(Z$21=$B112+1,Ramp2,1))-$P112-INDEX(LicByYear,AL112,Z$21)))</f>
        <v>0</v>
      </c>
      <c r="AA112" s="95">
        <f>IF(OR($C112="",AA$21&lt;$B112),0,IF(AA$21=$B112,OpenYearShare,1)*($N112*ContribMargin*IF(AA$21=$B112,Ramp1,IF(AA$21=$B112+1,Ramp2,1))-$P112-INDEX(LicByYear,AL112,AA$21)))</f>
        <v>0</v>
      </c>
      <c r="AB112" s="95">
        <f>IF(OR($C112="",AB$21&lt;$B112),0,IF(AB$21=$B112,OpenYearShare,1)*($N112*ContribMargin*IF(AB$21=$B112,Ramp1,IF(AB$21=$B112+1,Ramp2,1))-$P112-INDEX(LicByYear,AL112,AB$21)))</f>
        <v>0</v>
      </c>
      <c r="AC112" s="95">
        <f>IF(OR($C112="",AC$21&lt;$B112),0,IF(AC$21=$B112,OpenYearShare,1)*($N112*ContribMargin*IF(AC$21=$B112,Ramp1,IF(AC$21=$B112+1,Ramp2,1))-$P112-INDEX(LicByYear,AL112,AC$21)))</f>
        <v>0</v>
      </c>
      <c r="AD112" s="95">
        <f>IF(OR($C112="",AD$21&lt;$B112),0,IF(AD$21=$B112,OpenYearShare,1)*($N112*ContribMargin*IF(AD$21=$B112,Ramp1,IF(AD$21=$B112+1,Ramp2,1))-$P112-INDEX(LicByYear,AL112,AD$21)))</f>
        <v>0</v>
      </c>
      <c r="AF112" s="82">
        <f>AF111+IF($C112="SPLUS",1,0)</f>
        <v>7</v>
      </c>
      <c r="AG112" s="82">
        <f>AG111+IF($C112="S",1,0)</f>
        <v>15</v>
      </c>
      <c r="AH112" s="82">
        <f>AH111+IF($C112="D",1,0)</f>
        <v>8</v>
      </c>
      <c r="AI112" s="105">
        <f>IF(OR($A112&gt;PlanStores,AF111&gt;=INDEX(Target,1)),-1000000000,INDEX(Target,1)*$A112-AF111*PlanStores)</f>
        <v>-1000000000</v>
      </c>
      <c r="AJ112" s="105">
        <f>IF(OR($A112&gt;PlanStores,AG111&gt;=INDEX(Target,2)),-1000000000,INDEX(Target,2)*$A112-AG111*PlanStores)</f>
        <v>-1000000000</v>
      </c>
      <c r="AK112" s="105">
        <f>IF(OR($A112&gt;PlanStores,AH111&gt;=INDEX(Target,3)),-1000000000,INDEX(Target,3)*$A112-AH111*PlanStores)</f>
        <v>-1000000000</v>
      </c>
      <c r="AL112" s="82" t="str">
        <f>IF($C112="","",MATCH($C112,TierCodes,0))</f>
        <v/>
      </c>
      <c r="AM112" s="82" t="str">
        <f>IF($C112="","",IF(OR(StreetChoice="Typical street for its size",INDEX(Cand,AL112)=0),"",MOD($D112-1,INDEX(Cand,AL112))+1))</f>
        <v/>
      </c>
      <c r="AN112" s="82" t="str">
        <f>IF(AM112="","",MATCH($C112&amp;"|"&amp;AM112,Melbourne!$AA$58:$AA$135,0))</f>
        <v/>
      </c>
      <c r="AO112" s="76" t="str">
        <f>IF($C112="","",Ramp1*$N112*ContribMargin-$P112-INDEX(LicPlan,AL112))</f>
        <v/>
      </c>
      <c r="AP112" s="76" t="str">
        <f>IF($C112="","",Ramp2*$N112*ContribMargin-$P112-INDEX(LicPlan,AL112))</f>
        <v/>
      </c>
      <c r="AR112" s="61" t="str">
        <f>IF($C112="","",MAX(Scale!$C$7,($D112+Scale!$C$8*($A112-$D112))^LOG(Scale!$C$6,2)))</f>
        <v/>
      </c>
      <c r="AS112" s="61" t="str">
        <f>IF($C112="","",1-IF(IF(Deal="Commit to the full plan",PlanStores,$A112)&gt;=PBAt4,Scale!$C$12,IF(IF(Deal="Commit to the full plan",PlanStores,$A112)&gt;=PBAt3,Scale!$C$11,IF(IF(Deal="Commit to the full plan",PlanStores,$A112)&gt;=PBAt2,Scale!$C$10,IF(IF(Deal="Commit to the full plan",PlanStores,$A112)&gt;=PBAt1,Scale!$C$9,0)))))</f>
        <v/>
      </c>
      <c r="AT112" s="61" t="str">
        <f>IF($C112="","",MAX(Scale!$D$7,($D112+Scale!$D$8*($A112-$D112))^LOG(Scale!$D$6,2)))</f>
        <v/>
      </c>
      <c r="AU112" s="61" t="str">
        <f>IF($C112="","",1-IF(IF(Deal="Commit to the full plan",PlanStores,$A112)&gt;=PBAt4,Scale!$D$12,IF(IF(Deal="Commit to the full plan",PlanStores,$A112)&gt;=PBAt3,Scale!$D$11,IF(IF(Deal="Commit to the full plan",PlanStores,$A112)&gt;=PBAt2,Scale!$D$10,IF(IF(Deal="Commit to the full plan",PlanStores,$A112)&gt;=PBAt1,Scale!$D$9,0)))))</f>
        <v/>
      </c>
      <c r="AV112" s="61" t="str">
        <f>IF($C112="","",MAX(Scale!$E$7,($D112+Scale!$E$8*($A112-$D112))^LOG(Scale!$E$6,2)))</f>
        <v/>
      </c>
      <c r="AW112" s="61" t="str">
        <f>IF($C112="","",1-IF(IF(Deal="Commit to the full plan",PlanStores,$A112)&gt;=PBAt4,Scale!$E$12,IF(IF(Deal="Commit to the full plan",PlanStores,$A112)&gt;=PBAt3,Scale!$E$11,IF(IF(Deal="Commit to the full plan",PlanStores,$A112)&gt;=PBAt2,Scale!$E$10,IF(IF(Deal="Commit to the full plan",PlanStores,$A112)&gt;=PBAt1,Scale!$E$9,0)))))</f>
        <v/>
      </c>
    </row>
    <row r="113">
      <c r="A113" s="110" t="n">
        <v>92</v>
      </c>
      <c r="B113" s="111" t="str">
        <f>IF($A113&gt;PlanStores,"",1+COUNTIF(CumOpenings,"&lt;"&amp;$A113))</f>
        <v/>
      </c>
      <c r="C113" s="14" t="str">
        <f>IF($A113&gt;PlanStores,"",IF(AND($A113=1,FlagshipFirst="Yes",INDEX(Target,1)&gt;0),"SPLUS",IF(AND(AI113&gt;=AJ113,AI113&gt;=AK113),"SPLUS",IF(AJ113&gt;=AK113,"S","D"))))</f>
        <v/>
      </c>
      <c r="D113" s="111" t="str">
        <f>IF($C113="","",IF($C113="SPLUS",AF113,IF($C113="S",AG113,AH113)))</f>
        <v/>
      </c>
      <c r="E113" s="112" t="str">
        <f>IF($C113="","",$D113+LearnShared*($A113-$D113))</f>
        <v/>
      </c>
      <c r="F113" s="85" t="str">
        <f>IF($C113="","",MAX(LearnFloor,$E113^LOG(LearnRate,2)))</f>
        <v/>
      </c>
      <c r="G113" s="85" t="str">
        <f>IF($C113="","",1-IF(IF(Deal="Commit to the full plan",PlanStores,$A113)&gt;=PBAt4,PBDisc4,IF(IF(Deal="Commit to the full plan",PlanStores,$A113)&gt;=PBAt3,PBDisc3,IF(IF(Deal="Commit to the full plan",PlanStores,$A113)&gt;=PBAt2,PBDisc2,IF(IF(Deal="Commit to the full plan",PlanStores,$A113)&gt;=PBAt1,PBDisc1,0)))))</f>
        <v/>
      </c>
      <c r="H113" s="39" t="str">
        <f>IF($C113="","",INDEX(BaseL,AL113)*$F113+INDEX(BaseV,AL113)*$G113+INDEX(BaseN,AL113))</f>
        <v/>
      </c>
      <c r="I113" s="39" t="str">
        <f>IF($C113="","",$H113*(1+BuildInflation)^($B113-1))</f>
        <v/>
      </c>
      <c r="J113" s="40" t="str">
        <f>IF($C113="","",IF(AN113="",IF(INDEX(Cand,AL113)=0,"No street of this size","Typical "&amp;LOWER(INDEX(TierNames,AL113))&amp;" street"),INDEX(Melbourne!$B$58:$B$135,AN113)))</f>
        <v/>
      </c>
      <c r="K113" s="40" t="str">
        <f>IF(OR($C113="",AN113=""),"",INDEX(Melbourne!$C$58:$C$135,AN113))</f>
        <v/>
      </c>
      <c r="L113" s="46" t="str">
        <f>IF($C113="","",IF(AN113="",INDEX(TypicalF,AL113),INDEX(Melbourne!$E$58:$E$135,AN113)))</f>
        <v/>
      </c>
      <c r="M113" s="86" t="str">
        <f>IF($C113="","",IF(AN113="",INDEX(TypicalQ,AL113),INDEX(Melbourne!$N$58:$N$135,AN113)))</f>
        <v/>
      </c>
      <c r="N113" s="39" t="str">
        <f>IF($C113="","",MIN($L113*Capture*$M113*Conversion*Ticket,INDEX(CapacityPsf,AL113)*INDEX(Area,AL113)))</f>
        <v/>
      </c>
      <c r="O113" s="39" t="str">
        <f>IF($C113="","",INDEX(Area,AL113)*RentPsf*($L113/Fref)^RentElasticity)</f>
        <v/>
      </c>
      <c r="P113" s="39" t="str">
        <f>IF($C113="","",$O113+INDEX(RunOther,AL113))</f>
        <v/>
      </c>
      <c r="Q113" s="95" t="str">
        <f>IF($C113="","",$N113*ContribMargin-$P113-INDEX(LicPlan,AL113))</f>
        <v/>
      </c>
      <c r="R113" s="113" t="str">
        <f>IF($C113="","",IF(AND(AO113&gt;=$H113,AO113&gt;0),$H113/AO113,IF(AND(AO113+AP113&gt;=$H113,AP113&gt;0),1+($H113-AO113)/AP113,IF($Q113&gt;0,2+($H113-AO113-AP113)/$Q113,"Never"))))</f>
        <v/>
      </c>
      <c r="S113" s="39" t="str">
        <f>IF($C113="","",StockWeeks/52*$N113*(1-GrossMargin))</f>
        <v/>
      </c>
      <c r="U113" s="95">
        <f>IF(OR($C113="",U$21&lt;$B113),0,IF(U$21=$B113,OpenYearShare,1)*($N113*ContribMargin*IF(U$21=$B113,Ramp1,IF(U$21=$B113+1,Ramp2,1))-$P113-INDEX(LicByYear,AL113,U$21)))</f>
        <v>0</v>
      </c>
      <c r="V113" s="95">
        <f>IF(OR($C113="",V$21&lt;$B113),0,IF(V$21=$B113,OpenYearShare,1)*($N113*ContribMargin*IF(V$21=$B113,Ramp1,IF(V$21=$B113+1,Ramp2,1))-$P113-INDEX(LicByYear,AL113,V$21)))</f>
        <v>0</v>
      </c>
      <c r="W113" s="95">
        <f>IF(OR($C113="",W$21&lt;$B113),0,IF(W$21=$B113,OpenYearShare,1)*($N113*ContribMargin*IF(W$21=$B113,Ramp1,IF(W$21=$B113+1,Ramp2,1))-$P113-INDEX(LicByYear,AL113,W$21)))</f>
        <v>0</v>
      </c>
      <c r="X113" s="95">
        <f>IF(OR($C113="",X$21&lt;$B113),0,IF(X$21=$B113,OpenYearShare,1)*($N113*ContribMargin*IF(X$21=$B113,Ramp1,IF(X$21=$B113+1,Ramp2,1))-$P113-INDEX(LicByYear,AL113,X$21)))</f>
        <v>0</v>
      </c>
      <c r="Y113" s="95">
        <f>IF(OR($C113="",Y$21&lt;$B113),0,IF(Y$21=$B113,OpenYearShare,1)*($N113*ContribMargin*IF(Y$21=$B113,Ramp1,IF(Y$21=$B113+1,Ramp2,1))-$P113-INDEX(LicByYear,AL113,Y$21)))</f>
        <v>0</v>
      </c>
      <c r="Z113" s="95">
        <f>IF(OR($C113="",Z$21&lt;$B113),0,IF(Z$21=$B113,OpenYearShare,1)*($N113*ContribMargin*IF(Z$21=$B113,Ramp1,IF(Z$21=$B113+1,Ramp2,1))-$P113-INDEX(LicByYear,AL113,Z$21)))</f>
        <v>0</v>
      </c>
      <c r="AA113" s="95">
        <f>IF(OR($C113="",AA$21&lt;$B113),0,IF(AA$21=$B113,OpenYearShare,1)*($N113*ContribMargin*IF(AA$21=$B113,Ramp1,IF(AA$21=$B113+1,Ramp2,1))-$P113-INDEX(LicByYear,AL113,AA$21)))</f>
        <v>0</v>
      </c>
      <c r="AB113" s="95">
        <f>IF(OR($C113="",AB$21&lt;$B113),0,IF(AB$21=$B113,OpenYearShare,1)*($N113*ContribMargin*IF(AB$21=$B113,Ramp1,IF(AB$21=$B113+1,Ramp2,1))-$P113-INDEX(LicByYear,AL113,AB$21)))</f>
        <v>0</v>
      </c>
      <c r="AC113" s="95">
        <f>IF(OR($C113="",AC$21&lt;$B113),0,IF(AC$21=$B113,OpenYearShare,1)*($N113*ContribMargin*IF(AC$21=$B113,Ramp1,IF(AC$21=$B113+1,Ramp2,1))-$P113-INDEX(LicByYear,AL113,AC$21)))</f>
        <v>0</v>
      </c>
      <c r="AD113" s="95">
        <f>IF(OR($C113="",AD$21&lt;$B113),0,IF(AD$21=$B113,OpenYearShare,1)*($N113*ContribMargin*IF(AD$21=$B113,Ramp1,IF(AD$21=$B113+1,Ramp2,1))-$P113-INDEX(LicByYear,AL113,AD$21)))</f>
        <v>0</v>
      </c>
      <c r="AF113" s="82">
        <f>AF112+IF($C113="SPLUS",1,0)</f>
        <v>7</v>
      </c>
      <c r="AG113" s="82">
        <f>AG112+IF($C113="S",1,0)</f>
        <v>15</v>
      </c>
      <c r="AH113" s="82">
        <f>AH112+IF($C113="D",1,0)</f>
        <v>8</v>
      </c>
      <c r="AI113" s="105">
        <f>IF(OR($A113&gt;PlanStores,AF112&gt;=INDEX(Target,1)),-1000000000,INDEX(Target,1)*$A113-AF112*PlanStores)</f>
        <v>-1000000000</v>
      </c>
      <c r="AJ113" s="105">
        <f>IF(OR($A113&gt;PlanStores,AG112&gt;=INDEX(Target,2)),-1000000000,INDEX(Target,2)*$A113-AG112*PlanStores)</f>
        <v>-1000000000</v>
      </c>
      <c r="AK113" s="105">
        <f>IF(OR($A113&gt;PlanStores,AH112&gt;=INDEX(Target,3)),-1000000000,INDEX(Target,3)*$A113-AH112*PlanStores)</f>
        <v>-1000000000</v>
      </c>
      <c r="AL113" s="82" t="str">
        <f>IF($C113="","",MATCH($C113,TierCodes,0))</f>
        <v/>
      </c>
      <c r="AM113" s="82" t="str">
        <f>IF($C113="","",IF(OR(StreetChoice="Typical street for its size",INDEX(Cand,AL113)=0),"",MOD($D113-1,INDEX(Cand,AL113))+1))</f>
        <v/>
      </c>
      <c r="AN113" s="82" t="str">
        <f>IF(AM113="","",MATCH($C113&amp;"|"&amp;AM113,Melbourne!$AA$58:$AA$135,0))</f>
        <v/>
      </c>
      <c r="AO113" s="76" t="str">
        <f>IF($C113="","",Ramp1*$N113*ContribMargin-$P113-INDEX(LicPlan,AL113))</f>
        <v/>
      </c>
      <c r="AP113" s="76" t="str">
        <f>IF($C113="","",Ramp2*$N113*ContribMargin-$P113-INDEX(LicPlan,AL113))</f>
        <v/>
      </c>
      <c r="AR113" s="61" t="str">
        <f>IF($C113="","",MAX(Scale!$C$7,($D113+Scale!$C$8*($A113-$D113))^LOG(Scale!$C$6,2)))</f>
        <v/>
      </c>
      <c r="AS113" s="61" t="str">
        <f>IF($C113="","",1-IF(IF(Deal="Commit to the full plan",PlanStores,$A113)&gt;=PBAt4,Scale!$C$12,IF(IF(Deal="Commit to the full plan",PlanStores,$A113)&gt;=PBAt3,Scale!$C$11,IF(IF(Deal="Commit to the full plan",PlanStores,$A113)&gt;=PBAt2,Scale!$C$10,IF(IF(Deal="Commit to the full plan",PlanStores,$A113)&gt;=PBAt1,Scale!$C$9,0)))))</f>
        <v/>
      </c>
      <c r="AT113" s="61" t="str">
        <f>IF($C113="","",MAX(Scale!$D$7,($D113+Scale!$D$8*($A113-$D113))^LOG(Scale!$D$6,2)))</f>
        <v/>
      </c>
      <c r="AU113" s="61" t="str">
        <f>IF($C113="","",1-IF(IF(Deal="Commit to the full plan",PlanStores,$A113)&gt;=PBAt4,Scale!$D$12,IF(IF(Deal="Commit to the full plan",PlanStores,$A113)&gt;=PBAt3,Scale!$D$11,IF(IF(Deal="Commit to the full plan",PlanStores,$A113)&gt;=PBAt2,Scale!$D$10,IF(IF(Deal="Commit to the full plan",PlanStores,$A113)&gt;=PBAt1,Scale!$D$9,0)))))</f>
        <v/>
      </c>
      <c r="AV113" s="61" t="str">
        <f>IF($C113="","",MAX(Scale!$E$7,($D113+Scale!$E$8*($A113-$D113))^LOG(Scale!$E$6,2)))</f>
        <v/>
      </c>
      <c r="AW113" s="61" t="str">
        <f>IF($C113="","",1-IF(IF(Deal="Commit to the full plan",PlanStores,$A113)&gt;=PBAt4,Scale!$E$12,IF(IF(Deal="Commit to the full plan",PlanStores,$A113)&gt;=PBAt3,Scale!$E$11,IF(IF(Deal="Commit to the full plan",PlanStores,$A113)&gt;=PBAt2,Scale!$E$10,IF(IF(Deal="Commit to the full plan",PlanStores,$A113)&gt;=PBAt1,Scale!$E$9,0)))))</f>
        <v/>
      </c>
    </row>
    <row r="114">
      <c r="A114" s="110" t="n">
        <v>93</v>
      </c>
      <c r="B114" s="111" t="str">
        <f>IF($A114&gt;PlanStores,"",1+COUNTIF(CumOpenings,"&lt;"&amp;$A114))</f>
        <v/>
      </c>
      <c r="C114" s="14" t="str">
        <f>IF($A114&gt;PlanStores,"",IF(AND($A114=1,FlagshipFirst="Yes",INDEX(Target,1)&gt;0),"SPLUS",IF(AND(AI114&gt;=AJ114,AI114&gt;=AK114),"SPLUS",IF(AJ114&gt;=AK114,"S","D"))))</f>
        <v/>
      </c>
      <c r="D114" s="111" t="str">
        <f>IF($C114="","",IF($C114="SPLUS",AF114,IF($C114="S",AG114,AH114)))</f>
        <v/>
      </c>
      <c r="E114" s="112" t="str">
        <f>IF($C114="","",$D114+LearnShared*($A114-$D114))</f>
        <v/>
      </c>
      <c r="F114" s="85" t="str">
        <f>IF($C114="","",MAX(LearnFloor,$E114^LOG(LearnRate,2)))</f>
        <v/>
      </c>
      <c r="G114" s="85" t="str">
        <f>IF($C114="","",1-IF(IF(Deal="Commit to the full plan",PlanStores,$A114)&gt;=PBAt4,PBDisc4,IF(IF(Deal="Commit to the full plan",PlanStores,$A114)&gt;=PBAt3,PBDisc3,IF(IF(Deal="Commit to the full plan",PlanStores,$A114)&gt;=PBAt2,PBDisc2,IF(IF(Deal="Commit to the full plan",PlanStores,$A114)&gt;=PBAt1,PBDisc1,0)))))</f>
        <v/>
      </c>
      <c r="H114" s="39" t="str">
        <f>IF($C114="","",INDEX(BaseL,AL114)*$F114+INDEX(BaseV,AL114)*$G114+INDEX(BaseN,AL114))</f>
        <v/>
      </c>
      <c r="I114" s="39" t="str">
        <f>IF($C114="","",$H114*(1+BuildInflation)^($B114-1))</f>
        <v/>
      </c>
      <c r="J114" s="40" t="str">
        <f>IF($C114="","",IF(AN114="",IF(INDEX(Cand,AL114)=0,"No street of this size","Typical "&amp;LOWER(INDEX(TierNames,AL114))&amp;" street"),INDEX(Melbourne!$B$58:$B$135,AN114)))</f>
        <v/>
      </c>
      <c r="K114" s="40" t="str">
        <f>IF(OR($C114="",AN114=""),"",INDEX(Melbourne!$C$58:$C$135,AN114))</f>
        <v/>
      </c>
      <c r="L114" s="46" t="str">
        <f>IF($C114="","",IF(AN114="",INDEX(TypicalF,AL114),INDEX(Melbourne!$E$58:$E$135,AN114)))</f>
        <v/>
      </c>
      <c r="M114" s="86" t="str">
        <f>IF($C114="","",IF(AN114="",INDEX(TypicalQ,AL114),INDEX(Melbourne!$N$58:$N$135,AN114)))</f>
        <v/>
      </c>
      <c r="N114" s="39" t="str">
        <f>IF($C114="","",MIN($L114*Capture*$M114*Conversion*Ticket,INDEX(CapacityPsf,AL114)*INDEX(Area,AL114)))</f>
        <v/>
      </c>
      <c r="O114" s="39" t="str">
        <f>IF($C114="","",INDEX(Area,AL114)*RentPsf*($L114/Fref)^RentElasticity)</f>
        <v/>
      </c>
      <c r="P114" s="39" t="str">
        <f>IF($C114="","",$O114+INDEX(RunOther,AL114))</f>
        <v/>
      </c>
      <c r="Q114" s="95" t="str">
        <f>IF($C114="","",$N114*ContribMargin-$P114-INDEX(LicPlan,AL114))</f>
        <v/>
      </c>
      <c r="R114" s="113" t="str">
        <f>IF($C114="","",IF(AND(AO114&gt;=$H114,AO114&gt;0),$H114/AO114,IF(AND(AO114+AP114&gt;=$H114,AP114&gt;0),1+($H114-AO114)/AP114,IF($Q114&gt;0,2+($H114-AO114-AP114)/$Q114,"Never"))))</f>
        <v/>
      </c>
      <c r="S114" s="39" t="str">
        <f>IF($C114="","",StockWeeks/52*$N114*(1-GrossMargin))</f>
        <v/>
      </c>
      <c r="U114" s="95">
        <f>IF(OR($C114="",U$21&lt;$B114),0,IF(U$21=$B114,OpenYearShare,1)*($N114*ContribMargin*IF(U$21=$B114,Ramp1,IF(U$21=$B114+1,Ramp2,1))-$P114-INDEX(LicByYear,AL114,U$21)))</f>
        <v>0</v>
      </c>
      <c r="V114" s="95">
        <f>IF(OR($C114="",V$21&lt;$B114),0,IF(V$21=$B114,OpenYearShare,1)*($N114*ContribMargin*IF(V$21=$B114,Ramp1,IF(V$21=$B114+1,Ramp2,1))-$P114-INDEX(LicByYear,AL114,V$21)))</f>
        <v>0</v>
      </c>
      <c r="W114" s="95">
        <f>IF(OR($C114="",W$21&lt;$B114),0,IF(W$21=$B114,OpenYearShare,1)*($N114*ContribMargin*IF(W$21=$B114,Ramp1,IF(W$21=$B114+1,Ramp2,1))-$P114-INDEX(LicByYear,AL114,W$21)))</f>
        <v>0</v>
      </c>
      <c r="X114" s="95">
        <f>IF(OR($C114="",X$21&lt;$B114),0,IF(X$21=$B114,OpenYearShare,1)*($N114*ContribMargin*IF(X$21=$B114,Ramp1,IF(X$21=$B114+1,Ramp2,1))-$P114-INDEX(LicByYear,AL114,X$21)))</f>
        <v>0</v>
      </c>
      <c r="Y114" s="95">
        <f>IF(OR($C114="",Y$21&lt;$B114),0,IF(Y$21=$B114,OpenYearShare,1)*($N114*ContribMargin*IF(Y$21=$B114,Ramp1,IF(Y$21=$B114+1,Ramp2,1))-$P114-INDEX(LicByYear,AL114,Y$21)))</f>
        <v>0</v>
      </c>
      <c r="Z114" s="95">
        <f>IF(OR($C114="",Z$21&lt;$B114),0,IF(Z$21=$B114,OpenYearShare,1)*($N114*ContribMargin*IF(Z$21=$B114,Ramp1,IF(Z$21=$B114+1,Ramp2,1))-$P114-INDEX(LicByYear,AL114,Z$21)))</f>
        <v>0</v>
      </c>
      <c r="AA114" s="95">
        <f>IF(OR($C114="",AA$21&lt;$B114),0,IF(AA$21=$B114,OpenYearShare,1)*($N114*ContribMargin*IF(AA$21=$B114,Ramp1,IF(AA$21=$B114+1,Ramp2,1))-$P114-INDEX(LicByYear,AL114,AA$21)))</f>
        <v>0</v>
      </c>
      <c r="AB114" s="95">
        <f>IF(OR($C114="",AB$21&lt;$B114),0,IF(AB$21=$B114,OpenYearShare,1)*($N114*ContribMargin*IF(AB$21=$B114,Ramp1,IF(AB$21=$B114+1,Ramp2,1))-$P114-INDEX(LicByYear,AL114,AB$21)))</f>
        <v>0</v>
      </c>
      <c r="AC114" s="95">
        <f>IF(OR($C114="",AC$21&lt;$B114),0,IF(AC$21=$B114,OpenYearShare,1)*($N114*ContribMargin*IF(AC$21=$B114,Ramp1,IF(AC$21=$B114+1,Ramp2,1))-$P114-INDEX(LicByYear,AL114,AC$21)))</f>
        <v>0</v>
      </c>
      <c r="AD114" s="95">
        <f>IF(OR($C114="",AD$21&lt;$B114),0,IF(AD$21=$B114,OpenYearShare,1)*($N114*ContribMargin*IF(AD$21=$B114,Ramp1,IF(AD$21=$B114+1,Ramp2,1))-$P114-INDEX(LicByYear,AL114,AD$21)))</f>
        <v>0</v>
      </c>
      <c r="AF114" s="82">
        <f>AF113+IF($C114="SPLUS",1,0)</f>
        <v>7</v>
      </c>
      <c r="AG114" s="82">
        <f>AG113+IF($C114="S",1,0)</f>
        <v>15</v>
      </c>
      <c r="AH114" s="82">
        <f>AH113+IF($C114="D",1,0)</f>
        <v>8</v>
      </c>
      <c r="AI114" s="105">
        <f>IF(OR($A114&gt;PlanStores,AF113&gt;=INDEX(Target,1)),-1000000000,INDEX(Target,1)*$A114-AF113*PlanStores)</f>
        <v>-1000000000</v>
      </c>
      <c r="AJ114" s="105">
        <f>IF(OR($A114&gt;PlanStores,AG113&gt;=INDEX(Target,2)),-1000000000,INDEX(Target,2)*$A114-AG113*PlanStores)</f>
        <v>-1000000000</v>
      </c>
      <c r="AK114" s="105">
        <f>IF(OR($A114&gt;PlanStores,AH113&gt;=INDEX(Target,3)),-1000000000,INDEX(Target,3)*$A114-AH113*PlanStores)</f>
        <v>-1000000000</v>
      </c>
      <c r="AL114" s="82" t="str">
        <f>IF($C114="","",MATCH($C114,TierCodes,0))</f>
        <v/>
      </c>
      <c r="AM114" s="82" t="str">
        <f>IF($C114="","",IF(OR(StreetChoice="Typical street for its size",INDEX(Cand,AL114)=0),"",MOD($D114-1,INDEX(Cand,AL114))+1))</f>
        <v/>
      </c>
      <c r="AN114" s="82" t="str">
        <f>IF(AM114="","",MATCH($C114&amp;"|"&amp;AM114,Melbourne!$AA$58:$AA$135,0))</f>
        <v/>
      </c>
      <c r="AO114" s="76" t="str">
        <f>IF($C114="","",Ramp1*$N114*ContribMargin-$P114-INDEX(LicPlan,AL114))</f>
        <v/>
      </c>
      <c r="AP114" s="76" t="str">
        <f>IF($C114="","",Ramp2*$N114*ContribMargin-$P114-INDEX(LicPlan,AL114))</f>
        <v/>
      </c>
      <c r="AR114" s="61" t="str">
        <f>IF($C114="","",MAX(Scale!$C$7,($D114+Scale!$C$8*($A114-$D114))^LOG(Scale!$C$6,2)))</f>
        <v/>
      </c>
      <c r="AS114" s="61" t="str">
        <f>IF($C114="","",1-IF(IF(Deal="Commit to the full plan",PlanStores,$A114)&gt;=PBAt4,Scale!$C$12,IF(IF(Deal="Commit to the full plan",PlanStores,$A114)&gt;=PBAt3,Scale!$C$11,IF(IF(Deal="Commit to the full plan",PlanStores,$A114)&gt;=PBAt2,Scale!$C$10,IF(IF(Deal="Commit to the full plan",PlanStores,$A114)&gt;=PBAt1,Scale!$C$9,0)))))</f>
        <v/>
      </c>
      <c r="AT114" s="61" t="str">
        <f>IF($C114="","",MAX(Scale!$D$7,($D114+Scale!$D$8*($A114-$D114))^LOG(Scale!$D$6,2)))</f>
        <v/>
      </c>
      <c r="AU114" s="61" t="str">
        <f>IF($C114="","",1-IF(IF(Deal="Commit to the full plan",PlanStores,$A114)&gt;=PBAt4,Scale!$D$12,IF(IF(Deal="Commit to the full plan",PlanStores,$A114)&gt;=PBAt3,Scale!$D$11,IF(IF(Deal="Commit to the full plan",PlanStores,$A114)&gt;=PBAt2,Scale!$D$10,IF(IF(Deal="Commit to the full plan",PlanStores,$A114)&gt;=PBAt1,Scale!$D$9,0)))))</f>
        <v/>
      </c>
      <c r="AV114" s="61" t="str">
        <f>IF($C114="","",MAX(Scale!$E$7,($D114+Scale!$E$8*($A114-$D114))^LOG(Scale!$E$6,2)))</f>
        <v/>
      </c>
      <c r="AW114" s="61" t="str">
        <f>IF($C114="","",1-IF(IF(Deal="Commit to the full plan",PlanStores,$A114)&gt;=PBAt4,Scale!$E$12,IF(IF(Deal="Commit to the full plan",PlanStores,$A114)&gt;=PBAt3,Scale!$E$11,IF(IF(Deal="Commit to the full plan",PlanStores,$A114)&gt;=PBAt2,Scale!$E$10,IF(IF(Deal="Commit to the full plan",PlanStores,$A114)&gt;=PBAt1,Scale!$E$9,0)))))</f>
        <v/>
      </c>
    </row>
    <row r="115">
      <c r="A115" s="110" t="n">
        <v>94</v>
      </c>
      <c r="B115" s="111" t="str">
        <f>IF($A115&gt;PlanStores,"",1+COUNTIF(CumOpenings,"&lt;"&amp;$A115))</f>
        <v/>
      </c>
      <c r="C115" s="14" t="str">
        <f>IF($A115&gt;PlanStores,"",IF(AND($A115=1,FlagshipFirst="Yes",INDEX(Target,1)&gt;0),"SPLUS",IF(AND(AI115&gt;=AJ115,AI115&gt;=AK115),"SPLUS",IF(AJ115&gt;=AK115,"S","D"))))</f>
        <v/>
      </c>
      <c r="D115" s="111" t="str">
        <f>IF($C115="","",IF($C115="SPLUS",AF115,IF($C115="S",AG115,AH115)))</f>
        <v/>
      </c>
      <c r="E115" s="112" t="str">
        <f>IF($C115="","",$D115+LearnShared*($A115-$D115))</f>
        <v/>
      </c>
      <c r="F115" s="85" t="str">
        <f>IF($C115="","",MAX(LearnFloor,$E115^LOG(LearnRate,2)))</f>
        <v/>
      </c>
      <c r="G115" s="85" t="str">
        <f>IF($C115="","",1-IF(IF(Deal="Commit to the full plan",PlanStores,$A115)&gt;=PBAt4,PBDisc4,IF(IF(Deal="Commit to the full plan",PlanStores,$A115)&gt;=PBAt3,PBDisc3,IF(IF(Deal="Commit to the full plan",PlanStores,$A115)&gt;=PBAt2,PBDisc2,IF(IF(Deal="Commit to the full plan",PlanStores,$A115)&gt;=PBAt1,PBDisc1,0)))))</f>
        <v/>
      </c>
      <c r="H115" s="39" t="str">
        <f>IF($C115="","",INDEX(BaseL,AL115)*$F115+INDEX(BaseV,AL115)*$G115+INDEX(BaseN,AL115))</f>
        <v/>
      </c>
      <c r="I115" s="39" t="str">
        <f>IF($C115="","",$H115*(1+BuildInflation)^($B115-1))</f>
        <v/>
      </c>
      <c r="J115" s="40" t="str">
        <f>IF($C115="","",IF(AN115="",IF(INDEX(Cand,AL115)=0,"No street of this size","Typical "&amp;LOWER(INDEX(TierNames,AL115))&amp;" street"),INDEX(Melbourne!$B$58:$B$135,AN115)))</f>
        <v/>
      </c>
      <c r="K115" s="40" t="str">
        <f>IF(OR($C115="",AN115=""),"",INDEX(Melbourne!$C$58:$C$135,AN115))</f>
        <v/>
      </c>
      <c r="L115" s="46" t="str">
        <f>IF($C115="","",IF(AN115="",INDEX(TypicalF,AL115),INDEX(Melbourne!$E$58:$E$135,AN115)))</f>
        <v/>
      </c>
      <c r="M115" s="86" t="str">
        <f>IF($C115="","",IF(AN115="",INDEX(TypicalQ,AL115),INDEX(Melbourne!$N$58:$N$135,AN115)))</f>
        <v/>
      </c>
      <c r="N115" s="39" t="str">
        <f>IF($C115="","",MIN($L115*Capture*$M115*Conversion*Ticket,INDEX(CapacityPsf,AL115)*INDEX(Area,AL115)))</f>
        <v/>
      </c>
      <c r="O115" s="39" t="str">
        <f>IF($C115="","",INDEX(Area,AL115)*RentPsf*($L115/Fref)^RentElasticity)</f>
        <v/>
      </c>
      <c r="P115" s="39" t="str">
        <f>IF($C115="","",$O115+INDEX(RunOther,AL115))</f>
        <v/>
      </c>
      <c r="Q115" s="95" t="str">
        <f>IF($C115="","",$N115*ContribMargin-$P115-INDEX(LicPlan,AL115))</f>
        <v/>
      </c>
      <c r="R115" s="113" t="str">
        <f>IF($C115="","",IF(AND(AO115&gt;=$H115,AO115&gt;0),$H115/AO115,IF(AND(AO115+AP115&gt;=$H115,AP115&gt;0),1+($H115-AO115)/AP115,IF($Q115&gt;0,2+($H115-AO115-AP115)/$Q115,"Never"))))</f>
        <v/>
      </c>
      <c r="S115" s="39" t="str">
        <f>IF($C115="","",StockWeeks/52*$N115*(1-GrossMargin))</f>
        <v/>
      </c>
      <c r="U115" s="95">
        <f>IF(OR($C115="",U$21&lt;$B115),0,IF(U$21=$B115,OpenYearShare,1)*($N115*ContribMargin*IF(U$21=$B115,Ramp1,IF(U$21=$B115+1,Ramp2,1))-$P115-INDEX(LicByYear,AL115,U$21)))</f>
        <v>0</v>
      </c>
      <c r="V115" s="95">
        <f>IF(OR($C115="",V$21&lt;$B115),0,IF(V$21=$B115,OpenYearShare,1)*($N115*ContribMargin*IF(V$21=$B115,Ramp1,IF(V$21=$B115+1,Ramp2,1))-$P115-INDEX(LicByYear,AL115,V$21)))</f>
        <v>0</v>
      </c>
      <c r="W115" s="95">
        <f>IF(OR($C115="",W$21&lt;$B115),0,IF(W$21=$B115,OpenYearShare,1)*($N115*ContribMargin*IF(W$21=$B115,Ramp1,IF(W$21=$B115+1,Ramp2,1))-$P115-INDEX(LicByYear,AL115,W$21)))</f>
        <v>0</v>
      </c>
      <c r="X115" s="95">
        <f>IF(OR($C115="",X$21&lt;$B115),0,IF(X$21=$B115,OpenYearShare,1)*($N115*ContribMargin*IF(X$21=$B115,Ramp1,IF(X$21=$B115+1,Ramp2,1))-$P115-INDEX(LicByYear,AL115,X$21)))</f>
        <v>0</v>
      </c>
      <c r="Y115" s="95">
        <f>IF(OR($C115="",Y$21&lt;$B115),0,IF(Y$21=$B115,OpenYearShare,1)*($N115*ContribMargin*IF(Y$21=$B115,Ramp1,IF(Y$21=$B115+1,Ramp2,1))-$P115-INDEX(LicByYear,AL115,Y$21)))</f>
        <v>0</v>
      </c>
      <c r="Z115" s="95">
        <f>IF(OR($C115="",Z$21&lt;$B115),0,IF(Z$21=$B115,OpenYearShare,1)*($N115*ContribMargin*IF(Z$21=$B115,Ramp1,IF(Z$21=$B115+1,Ramp2,1))-$P115-INDEX(LicByYear,AL115,Z$21)))</f>
        <v>0</v>
      </c>
      <c r="AA115" s="95">
        <f>IF(OR($C115="",AA$21&lt;$B115),0,IF(AA$21=$B115,OpenYearShare,1)*($N115*ContribMargin*IF(AA$21=$B115,Ramp1,IF(AA$21=$B115+1,Ramp2,1))-$P115-INDEX(LicByYear,AL115,AA$21)))</f>
        <v>0</v>
      </c>
      <c r="AB115" s="95">
        <f>IF(OR($C115="",AB$21&lt;$B115),0,IF(AB$21=$B115,OpenYearShare,1)*($N115*ContribMargin*IF(AB$21=$B115,Ramp1,IF(AB$21=$B115+1,Ramp2,1))-$P115-INDEX(LicByYear,AL115,AB$21)))</f>
        <v>0</v>
      </c>
      <c r="AC115" s="95">
        <f>IF(OR($C115="",AC$21&lt;$B115),0,IF(AC$21=$B115,OpenYearShare,1)*($N115*ContribMargin*IF(AC$21=$B115,Ramp1,IF(AC$21=$B115+1,Ramp2,1))-$P115-INDEX(LicByYear,AL115,AC$21)))</f>
        <v>0</v>
      </c>
      <c r="AD115" s="95">
        <f>IF(OR($C115="",AD$21&lt;$B115),0,IF(AD$21=$B115,OpenYearShare,1)*($N115*ContribMargin*IF(AD$21=$B115,Ramp1,IF(AD$21=$B115+1,Ramp2,1))-$P115-INDEX(LicByYear,AL115,AD$21)))</f>
        <v>0</v>
      </c>
      <c r="AF115" s="82">
        <f>AF114+IF($C115="SPLUS",1,0)</f>
        <v>7</v>
      </c>
      <c r="AG115" s="82">
        <f>AG114+IF($C115="S",1,0)</f>
        <v>15</v>
      </c>
      <c r="AH115" s="82">
        <f>AH114+IF($C115="D",1,0)</f>
        <v>8</v>
      </c>
      <c r="AI115" s="105">
        <f>IF(OR($A115&gt;PlanStores,AF114&gt;=INDEX(Target,1)),-1000000000,INDEX(Target,1)*$A115-AF114*PlanStores)</f>
        <v>-1000000000</v>
      </c>
      <c r="AJ115" s="105">
        <f>IF(OR($A115&gt;PlanStores,AG114&gt;=INDEX(Target,2)),-1000000000,INDEX(Target,2)*$A115-AG114*PlanStores)</f>
        <v>-1000000000</v>
      </c>
      <c r="AK115" s="105">
        <f>IF(OR($A115&gt;PlanStores,AH114&gt;=INDEX(Target,3)),-1000000000,INDEX(Target,3)*$A115-AH114*PlanStores)</f>
        <v>-1000000000</v>
      </c>
      <c r="AL115" s="82" t="str">
        <f>IF($C115="","",MATCH($C115,TierCodes,0))</f>
        <v/>
      </c>
      <c r="AM115" s="82" t="str">
        <f>IF($C115="","",IF(OR(StreetChoice="Typical street for its size",INDEX(Cand,AL115)=0),"",MOD($D115-1,INDEX(Cand,AL115))+1))</f>
        <v/>
      </c>
      <c r="AN115" s="82" t="str">
        <f>IF(AM115="","",MATCH($C115&amp;"|"&amp;AM115,Melbourne!$AA$58:$AA$135,0))</f>
        <v/>
      </c>
      <c r="AO115" s="76" t="str">
        <f>IF($C115="","",Ramp1*$N115*ContribMargin-$P115-INDEX(LicPlan,AL115))</f>
        <v/>
      </c>
      <c r="AP115" s="76" t="str">
        <f>IF($C115="","",Ramp2*$N115*ContribMargin-$P115-INDEX(LicPlan,AL115))</f>
        <v/>
      </c>
      <c r="AR115" s="61" t="str">
        <f>IF($C115="","",MAX(Scale!$C$7,($D115+Scale!$C$8*($A115-$D115))^LOG(Scale!$C$6,2)))</f>
        <v/>
      </c>
      <c r="AS115" s="61" t="str">
        <f>IF($C115="","",1-IF(IF(Deal="Commit to the full plan",PlanStores,$A115)&gt;=PBAt4,Scale!$C$12,IF(IF(Deal="Commit to the full plan",PlanStores,$A115)&gt;=PBAt3,Scale!$C$11,IF(IF(Deal="Commit to the full plan",PlanStores,$A115)&gt;=PBAt2,Scale!$C$10,IF(IF(Deal="Commit to the full plan",PlanStores,$A115)&gt;=PBAt1,Scale!$C$9,0)))))</f>
        <v/>
      </c>
      <c r="AT115" s="61" t="str">
        <f>IF($C115="","",MAX(Scale!$D$7,($D115+Scale!$D$8*($A115-$D115))^LOG(Scale!$D$6,2)))</f>
        <v/>
      </c>
      <c r="AU115" s="61" t="str">
        <f>IF($C115="","",1-IF(IF(Deal="Commit to the full plan",PlanStores,$A115)&gt;=PBAt4,Scale!$D$12,IF(IF(Deal="Commit to the full plan",PlanStores,$A115)&gt;=PBAt3,Scale!$D$11,IF(IF(Deal="Commit to the full plan",PlanStores,$A115)&gt;=PBAt2,Scale!$D$10,IF(IF(Deal="Commit to the full plan",PlanStores,$A115)&gt;=PBAt1,Scale!$D$9,0)))))</f>
        <v/>
      </c>
      <c r="AV115" s="61" t="str">
        <f>IF($C115="","",MAX(Scale!$E$7,($D115+Scale!$E$8*($A115-$D115))^LOG(Scale!$E$6,2)))</f>
        <v/>
      </c>
      <c r="AW115" s="61" t="str">
        <f>IF($C115="","",1-IF(IF(Deal="Commit to the full plan",PlanStores,$A115)&gt;=PBAt4,Scale!$E$12,IF(IF(Deal="Commit to the full plan",PlanStores,$A115)&gt;=PBAt3,Scale!$E$11,IF(IF(Deal="Commit to the full plan",PlanStores,$A115)&gt;=PBAt2,Scale!$E$10,IF(IF(Deal="Commit to the full plan",PlanStores,$A115)&gt;=PBAt1,Scale!$E$9,0)))))</f>
        <v/>
      </c>
    </row>
    <row r="116">
      <c r="A116" s="110" t="n">
        <v>95</v>
      </c>
      <c r="B116" s="111" t="str">
        <f>IF($A116&gt;PlanStores,"",1+COUNTIF(CumOpenings,"&lt;"&amp;$A116))</f>
        <v/>
      </c>
      <c r="C116" s="14" t="str">
        <f>IF($A116&gt;PlanStores,"",IF(AND($A116=1,FlagshipFirst="Yes",INDEX(Target,1)&gt;0),"SPLUS",IF(AND(AI116&gt;=AJ116,AI116&gt;=AK116),"SPLUS",IF(AJ116&gt;=AK116,"S","D"))))</f>
        <v/>
      </c>
      <c r="D116" s="111" t="str">
        <f>IF($C116="","",IF($C116="SPLUS",AF116,IF($C116="S",AG116,AH116)))</f>
        <v/>
      </c>
      <c r="E116" s="112" t="str">
        <f>IF($C116="","",$D116+LearnShared*($A116-$D116))</f>
        <v/>
      </c>
      <c r="F116" s="85" t="str">
        <f>IF($C116="","",MAX(LearnFloor,$E116^LOG(LearnRate,2)))</f>
        <v/>
      </c>
      <c r="G116" s="85" t="str">
        <f>IF($C116="","",1-IF(IF(Deal="Commit to the full plan",PlanStores,$A116)&gt;=PBAt4,PBDisc4,IF(IF(Deal="Commit to the full plan",PlanStores,$A116)&gt;=PBAt3,PBDisc3,IF(IF(Deal="Commit to the full plan",PlanStores,$A116)&gt;=PBAt2,PBDisc2,IF(IF(Deal="Commit to the full plan",PlanStores,$A116)&gt;=PBAt1,PBDisc1,0)))))</f>
        <v/>
      </c>
      <c r="H116" s="39" t="str">
        <f>IF($C116="","",INDEX(BaseL,AL116)*$F116+INDEX(BaseV,AL116)*$G116+INDEX(BaseN,AL116))</f>
        <v/>
      </c>
      <c r="I116" s="39" t="str">
        <f>IF($C116="","",$H116*(1+BuildInflation)^($B116-1))</f>
        <v/>
      </c>
      <c r="J116" s="40" t="str">
        <f>IF($C116="","",IF(AN116="",IF(INDEX(Cand,AL116)=0,"No street of this size","Typical "&amp;LOWER(INDEX(TierNames,AL116))&amp;" street"),INDEX(Melbourne!$B$58:$B$135,AN116)))</f>
        <v/>
      </c>
      <c r="K116" s="40" t="str">
        <f>IF(OR($C116="",AN116=""),"",INDEX(Melbourne!$C$58:$C$135,AN116))</f>
        <v/>
      </c>
      <c r="L116" s="46" t="str">
        <f>IF($C116="","",IF(AN116="",INDEX(TypicalF,AL116),INDEX(Melbourne!$E$58:$E$135,AN116)))</f>
        <v/>
      </c>
      <c r="M116" s="86" t="str">
        <f>IF($C116="","",IF(AN116="",INDEX(TypicalQ,AL116),INDEX(Melbourne!$N$58:$N$135,AN116)))</f>
        <v/>
      </c>
      <c r="N116" s="39" t="str">
        <f>IF($C116="","",MIN($L116*Capture*$M116*Conversion*Ticket,INDEX(CapacityPsf,AL116)*INDEX(Area,AL116)))</f>
        <v/>
      </c>
      <c r="O116" s="39" t="str">
        <f>IF($C116="","",INDEX(Area,AL116)*RentPsf*($L116/Fref)^RentElasticity)</f>
        <v/>
      </c>
      <c r="P116" s="39" t="str">
        <f>IF($C116="","",$O116+INDEX(RunOther,AL116))</f>
        <v/>
      </c>
      <c r="Q116" s="95" t="str">
        <f>IF($C116="","",$N116*ContribMargin-$P116-INDEX(LicPlan,AL116))</f>
        <v/>
      </c>
      <c r="R116" s="113" t="str">
        <f>IF($C116="","",IF(AND(AO116&gt;=$H116,AO116&gt;0),$H116/AO116,IF(AND(AO116+AP116&gt;=$H116,AP116&gt;0),1+($H116-AO116)/AP116,IF($Q116&gt;0,2+($H116-AO116-AP116)/$Q116,"Never"))))</f>
        <v/>
      </c>
      <c r="S116" s="39" t="str">
        <f>IF($C116="","",StockWeeks/52*$N116*(1-GrossMargin))</f>
        <v/>
      </c>
      <c r="U116" s="95">
        <f>IF(OR($C116="",U$21&lt;$B116),0,IF(U$21=$B116,OpenYearShare,1)*($N116*ContribMargin*IF(U$21=$B116,Ramp1,IF(U$21=$B116+1,Ramp2,1))-$P116-INDEX(LicByYear,AL116,U$21)))</f>
        <v>0</v>
      </c>
      <c r="V116" s="95">
        <f>IF(OR($C116="",V$21&lt;$B116),0,IF(V$21=$B116,OpenYearShare,1)*($N116*ContribMargin*IF(V$21=$B116,Ramp1,IF(V$21=$B116+1,Ramp2,1))-$P116-INDEX(LicByYear,AL116,V$21)))</f>
        <v>0</v>
      </c>
      <c r="W116" s="95">
        <f>IF(OR($C116="",W$21&lt;$B116),0,IF(W$21=$B116,OpenYearShare,1)*($N116*ContribMargin*IF(W$21=$B116,Ramp1,IF(W$21=$B116+1,Ramp2,1))-$P116-INDEX(LicByYear,AL116,W$21)))</f>
        <v>0</v>
      </c>
      <c r="X116" s="95">
        <f>IF(OR($C116="",X$21&lt;$B116),0,IF(X$21=$B116,OpenYearShare,1)*($N116*ContribMargin*IF(X$21=$B116,Ramp1,IF(X$21=$B116+1,Ramp2,1))-$P116-INDEX(LicByYear,AL116,X$21)))</f>
        <v>0</v>
      </c>
      <c r="Y116" s="95">
        <f>IF(OR($C116="",Y$21&lt;$B116),0,IF(Y$21=$B116,OpenYearShare,1)*($N116*ContribMargin*IF(Y$21=$B116,Ramp1,IF(Y$21=$B116+1,Ramp2,1))-$P116-INDEX(LicByYear,AL116,Y$21)))</f>
        <v>0</v>
      </c>
      <c r="Z116" s="95">
        <f>IF(OR($C116="",Z$21&lt;$B116),0,IF(Z$21=$B116,OpenYearShare,1)*($N116*ContribMargin*IF(Z$21=$B116,Ramp1,IF(Z$21=$B116+1,Ramp2,1))-$P116-INDEX(LicByYear,AL116,Z$21)))</f>
        <v>0</v>
      </c>
      <c r="AA116" s="95">
        <f>IF(OR($C116="",AA$21&lt;$B116),0,IF(AA$21=$B116,OpenYearShare,1)*($N116*ContribMargin*IF(AA$21=$B116,Ramp1,IF(AA$21=$B116+1,Ramp2,1))-$P116-INDEX(LicByYear,AL116,AA$21)))</f>
        <v>0</v>
      </c>
      <c r="AB116" s="95">
        <f>IF(OR($C116="",AB$21&lt;$B116),0,IF(AB$21=$B116,OpenYearShare,1)*($N116*ContribMargin*IF(AB$21=$B116,Ramp1,IF(AB$21=$B116+1,Ramp2,1))-$P116-INDEX(LicByYear,AL116,AB$21)))</f>
        <v>0</v>
      </c>
      <c r="AC116" s="95">
        <f>IF(OR($C116="",AC$21&lt;$B116),0,IF(AC$21=$B116,OpenYearShare,1)*($N116*ContribMargin*IF(AC$21=$B116,Ramp1,IF(AC$21=$B116+1,Ramp2,1))-$P116-INDEX(LicByYear,AL116,AC$21)))</f>
        <v>0</v>
      </c>
      <c r="AD116" s="95">
        <f>IF(OR($C116="",AD$21&lt;$B116),0,IF(AD$21=$B116,OpenYearShare,1)*($N116*ContribMargin*IF(AD$21=$B116,Ramp1,IF(AD$21=$B116+1,Ramp2,1))-$P116-INDEX(LicByYear,AL116,AD$21)))</f>
        <v>0</v>
      </c>
      <c r="AF116" s="82">
        <f>AF115+IF($C116="SPLUS",1,0)</f>
        <v>7</v>
      </c>
      <c r="AG116" s="82">
        <f>AG115+IF($C116="S",1,0)</f>
        <v>15</v>
      </c>
      <c r="AH116" s="82">
        <f>AH115+IF($C116="D",1,0)</f>
        <v>8</v>
      </c>
      <c r="AI116" s="105">
        <f>IF(OR($A116&gt;PlanStores,AF115&gt;=INDEX(Target,1)),-1000000000,INDEX(Target,1)*$A116-AF115*PlanStores)</f>
        <v>-1000000000</v>
      </c>
      <c r="AJ116" s="105">
        <f>IF(OR($A116&gt;PlanStores,AG115&gt;=INDEX(Target,2)),-1000000000,INDEX(Target,2)*$A116-AG115*PlanStores)</f>
        <v>-1000000000</v>
      </c>
      <c r="AK116" s="105">
        <f>IF(OR($A116&gt;PlanStores,AH115&gt;=INDEX(Target,3)),-1000000000,INDEX(Target,3)*$A116-AH115*PlanStores)</f>
        <v>-1000000000</v>
      </c>
      <c r="AL116" s="82" t="str">
        <f>IF($C116="","",MATCH($C116,TierCodes,0))</f>
        <v/>
      </c>
      <c r="AM116" s="82" t="str">
        <f>IF($C116="","",IF(OR(StreetChoice="Typical street for its size",INDEX(Cand,AL116)=0),"",MOD($D116-1,INDEX(Cand,AL116))+1))</f>
        <v/>
      </c>
      <c r="AN116" s="82" t="str">
        <f>IF(AM116="","",MATCH($C116&amp;"|"&amp;AM116,Melbourne!$AA$58:$AA$135,0))</f>
        <v/>
      </c>
      <c r="AO116" s="76" t="str">
        <f>IF($C116="","",Ramp1*$N116*ContribMargin-$P116-INDEX(LicPlan,AL116))</f>
        <v/>
      </c>
      <c r="AP116" s="76" t="str">
        <f>IF($C116="","",Ramp2*$N116*ContribMargin-$P116-INDEX(LicPlan,AL116))</f>
        <v/>
      </c>
      <c r="AR116" s="61" t="str">
        <f>IF($C116="","",MAX(Scale!$C$7,($D116+Scale!$C$8*($A116-$D116))^LOG(Scale!$C$6,2)))</f>
        <v/>
      </c>
      <c r="AS116" s="61" t="str">
        <f>IF($C116="","",1-IF(IF(Deal="Commit to the full plan",PlanStores,$A116)&gt;=PBAt4,Scale!$C$12,IF(IF(Deal="Commit to the full plan",PlanStores,$A116)&gt;=PBAt3,Scale!$C$11,IF(IF(Deal="Commit to the full plan",PlanStores,$A116)&gt;=PBAt2,Scale!$C$10,IF(IF(Deal="Commit to the full plan",PlanStores,$A116)&gt;=PBAt1,Scale!$C$9,0)))))</f>
        <v/>
      </c>
      <c r="AT116" s="61" t="str">
        <f>IF($C116="","",MAX(Scale!$D$7,($D116+Scale!$D$8*($A116-$D116))^LOG(Scale!$D$6,2)))</f>
        <v/>
      </c>
      <c r="AU116" s="61" t="str">
        <f>IF($C116="","",1-IF(IF(Deal="Commit to the full plan",PlanStores,$A116)&gt;=PBAt4,Scale!$D$12,IF(IF(Deal="Commit to the full plan",PlanStores,$A116)&gt;=PBAt3,Scale!$D$11,IF(IF(Deal="Commit to the full plan",PlanStores,$A116)&gt;=PBAt2,Scale!$D$10,IF(IF(Deal="Commit to the full plan",PlanStores,$A116)&gt;=PBAt1,Scale!$D$9,0)))))</f>
        <v/>
      </c>
      <c r="AV116" s="61" t="str">
        <f>IF($C116="","",MAX(Scale!$E$7,($D116+Scale!$E$8*($A116-$D116))^LOG(Scale!$E$6,2)))</f>
        <v/>
      </c>
      <c r="AW116" s="61" t="str">
        <f>IF($C116="","",1-IF(IF(Deal="Commit to the full plan",PlanStores,$A116)&gt;=PBAt4,Scale!$E$12,IF(IF(Deal="Commit to the full plan",PlanStores,$A116)&gt;=PBAt3,Scale!$E$11,IF(IF(Deal="Commit to the full plan",PlanStores,$A116)&gt;=PBAt2,Scale!$E$10,IF(IF(Deal="Commit to the full plan",PlanStores,$A116)&gt;=PBAt1,Scale!$E$9,0)))))</f>
        <v/>
      </c>
    </row>
    <row r="117">
      <c r="A117" s="110" t="n">
        <v>96</v>
      </c>
      <c r="B117" s="111" t="str">
        <f>IF($A117&gt;PlanStores,"",1+COUNTIF(CumOpenings,"&lt;"&amp;$A117))</f>
        <v/>
      </c>
      <c r="C117" s="14" t="str">
        <f>IF($A117&gt;PlanStores,"",IF(AND($A117=1,FlagshipFirst="Yes",INDEX(Target,1)&gt;0),"SPLUS",IF(AND(AI117&gt;=AJ117,AI117&gt;=AK117),"SPLUS",IF(AJ117&gt;=AK117,"S","D"))))</f>
        <v/>
      </c>
      <c r="D117" s="111" t="str">
        <f>IF($C117="","",IF($C117="SPLUS",AF117,IF($C117="S",AG117,AH117)))</f>
        <v/>
      </c>
      <c r="E117" s="112" t="str">
        <f>IF($C117="","",$D117+LearnShared*($A117-$D117))</f>
        <v/>
      </c>
      <c r="F117" s="85" t="str">
        <f>IF($C117="","",MAX(LearnFloor,$E117^LOG(LearnRate,2)))</f>
        <v/>
      </c>
      <c r="G117" s="85" t="str">
        <f>IF($C117="","",1-IF(IF(Deal="Commit to the full plan",PlanStores,$A117)&gt;=PBAt4,PBDisc4,IF(IF(Deal="Commit to the full plan",PlanStores,$A117)&gt;=PBAt3,PBDisc3,IF(IF(Deal="Commit to the full plan",PlanStores,$A117)&gt;=PBAt2,PBDisc2,IF(IF(Deal="Commit to the full plan",PlanStores,$A117)&gt;=PBAt1,PBDisc1,0)))))</f>
        <v/>
      </c>
      <c r="H117" s="39" t="str">
        <f>IF($C117="","",INDEX(BaseL,AL117)*$F117+INDEX(BaseV,AL117)*$G117+INDEX(BaseN,AL117))</f>
        <v/>
      </c>
      <c r="I117" s="39" t="str">
        <f>IF($C117="","",$H117*(1+BuildInflation)^($B117-1))</f>
        <v/>
      </c>
      <c r="J117" s="40" t="str">
        <f>IF($C117="","",IF(AN117="",IF(INDEX(Cand,AL117)=0,"No street of this size","Typical "&amp;LOWER(INDEX(TierNames,AL117))&amp;" street"),INDEX(Melbourne!$B$58:$B$135,AN117)))</f>
        <v/>
      </c>
      <c r="K117" s="40" t="str">
        <f>IF(OR($C117="",AN117=""),"",INDEX(Melbourne!$C$58:$C$135,AN117))</f>
        <v/>
      </c>
      <c r="L117" s="46" t="str">
        <f>IF($C117="","",IF(AN117="",INDEX(TypicalF,AL117),INDEX(Melbourne!$E$58:$E$135,AN117)))</f>
        <v/>
      </c>
      <c r="M117" s="86" t="str">
        <f>IF($C117="","",IF(AN117="",INDEX(TypicalQ,AL117),INDEX(Melbourne!$N$58:$N$135,AN117)))</f>
        <v/>
      </c>
      <c r="N117" s="39" t="str">
        <f>IF($C117="","",MIN($L117*Capture*$M117*Conversion*Ticket,INDEX(CapacityPsf,AL117)*INDEX(Area,AL117)))</f>
        <v/>
      </c>
      <c r="O117" s="39" t="str">
        <f>IF($C117="","",INDEX(Area,AL117)*RentPsf*($L117/Fref)^RentElasticity)</f>
        <v/>
      </c>
      <c r="P117" s="39" t="str">
        <f>IF($C117="","",$O117+INDEX(RunOther,AL117))</f>
        <v/>
      </c>
      <c r="Q117" s="95" t="str">
        <f>IF($C117="","",$N117*ContribMargin-$P117-INDEX(LicPlan,AL117))</f>
        <v/>
      </c>
      <c r="R117" s="113" t="str">
        <f>IF($C117="","",IF(AND(AO117&gt;=$H117,AO117&gt;0),$H117/AO117,IF(AND(AO117+AP117&gt;=$H117,AP117&gt;0),1+($H117-AO117)/AP117,IF($Q117&gt;0,2+($H117-AO117-AP117)/$Q117,"Never"))))</f>
        <v/>
      </c>
      <c r="S117" s="39" t="str">
        <f>IF($C117="","",StockWeeks/52*$N117*(1-GrossMargin))</f>
        <v/>
      </c>
      <c r="U117" s="95">
        <f>IF(OR($C117="",U$21&lt;$B117),0,IF(U$21=$B117,OpenYearShare,1)*($N117*ContribMargin*IF(U$21=$B117,Ramp1,IF(U$21=$B117+1,Ramp2,1))-$P117-INDEX(LicByYear,AL117,U$21)))</f>
        <v>0</v>
      </c>
      <c r="V117" s="95">
        <f>IF(OR($C117="",V$21&lt;$B117),0,IF(V$21=$B117,OpenYearShare,1)*($N117*ContribMargin*IF(V$21=$B117,Ramp1,IF(V$21=$B117+1,Ramp2,1))-$P117-INDEX(LicByYear,AL117,V$21)))</f>
        <v>0</v>
      </c>
      <c r="W117" s="95">
        <f>IF(OR($C117="",W$21&lt;$B117),0,IF(W$21=$B117,OpenYearShare,1)*($N117*ContribMargin*IF(W$21=$B117,Ramp1,IF(W$21=$B117+1,Ramp2,1))-$P117-INDEX(LicByYear,AL117,W$21)))</f>
        <v>0</v>
      </c>
      <c r="X117" s="95">
        <f>IF(OR($C117="",X$21&lt;$B117),0,IF(X$21=$B117,OpenYearShare,1)*($N117*ContribMargin*IF(X$21=$B117,Ramp1,IF(X$21=$B117+1,Ramp2,1))-$P117-INDEX(LicByYear,AL117,X$21)))</f>
        <v>0</v>
      </c>
      <c r="Y117" s="95">
        <f>IF(OR($C117="",Y$21&lt;$B117),0,IF(Y$21=$B117,OpenYearShare,1)*($N117*ContribMargin*IF(Y$21=$B117,Ramp1,IF(Y$21=$B117+1,Ramp2,1))-$P117-INDEX(LicByYear,AL117,Y$21)))</f>
        <v>0</v>
      </c>
      <c r="Z117" s="95">
        <f>IF(OR($C117="",Z$21&lt;$B117),0,IF(Z$21=$B117,OpenYearShare,1)*($N117*ContribMargin*IF(Z$21=$B117,Ramp1,IF(Z$21=$B117+1,Ramp2,1))-$P117-INDEX(LicByYear,AL117,Z$21)))</f>
        <v>0</v>
      </c>
      <c r="AA117" s="95">
        <f>IF(OR($C117="",AA$21&lt;$B117),0,IF(AA$21=$B117,OpenYearShare,1)*($N117*ContribMargin*IF(AA$21=$B117,Ramp1,IF(AA$21=$B117+1,Ramp2,1))-$P117-INDEX(LicByYear,AL117,AA$21)))</f>
        <v>0</v>
      </c>
      <c r="AB117" s="95">
        <f>IF(OR($C117="",AB$21&lt;$B117),0,IF(AB$21=$B117,OpenYearShare,1)*($N117*ContribMargin*IF(AB$21=$B117,Ramp1,IF(AB$21=$B117+1,Ramp2,1))-$P117-INDEX(LicByYear,AL117,AB$21)))</f>
        <v>0</v>
      </c>
      <c r="AC117" s="95">
        <f>IF(OR($C117="",AC$21&lt;$B117),0,IF(AC$21=$B117,OpenYearShare,1)*($N117*ContribMargin*IF(AC$21=$B117,Ramp1,IF(AC$21=$B117+1,Ramp2,1))-$P117-INDEX(LicByYear,AL117,AC$21)))</f>
        <v>0</v>
      </c>
      <c r="AD117" s="95">
        <f>IF(OR($C117="",AD$21&lt;$B117),0,IF(AD$21=$B117,OpenYearShare,1)*($N117*ContribMargin*IF(AD$21=$B117,Ramp1,IF(AD$21=$B117+1,Ramp2,1))-$P117-INDEX(LicByYear,AL117,AD$21)))</f>
        <v>0</v>
      </c>
      <c r="AF117" s="82">
        <f>AF116+IF($C117="SPLUS",1,0)</f>
        <v>7</v>
      </c>
      <c r="AG117" s="82">
        <f>AG116+IF($C117="S",1,0)</f>
        <v>15</v>
      </c>
      <c r="AH117" s="82">
        <f>AH116+IF($C117="D",1,0)</f>
        <v>8</v>
      </c>
      <c r="AI117" s="105">
        <f>IF(OR($A117&gt;PlanStores,AF116&gt;=INDEX(Target,1)),-1000000000,INDEX(Target,1)*$A117-AF116*PlanStores)</f>
        <v>-1000000000</v>
      </c>
      <c r="AJ117" s="105">
        <f>IF(OR($A117&gt;PlanStores,AG116&gt;=INDEX(Target,2)),-1000000000,INDEX(Target,2)*$A117-AG116*PlanStores)</f>
        <v>-1000000000</v>
      </c>
      <c r="AK117" s="105">
        <f>IF(OR($A117&gt;PlanStores,AH116&gt;=INDEX(Target,3)),-1000000000,INDEX(Target,3)*$A117-AH116*PlanStores)</f>
        <v>-1000000000</v>
      </c>
      <c r="AL117" s="82" t="str">
        <f>IF($C117="","",MATCH($C117,TierCodes,0))</f>
        <v/>
      </c>
      <c r="AM117" s="82" t="str">
        <f>IF($C117="","",IF(OR(StreetChoice="Typical street for its size",INDEX(Cand,AL117)=0),"",MOD($D117-1,INDEX(Cand,AL117))+1))</f>
        <v/>
      </c>
      <c r="AN117" s="82" t="str">
        <f>IF(AM117="","",MATCH($C117&amp;"|"&amp;AM117,Melbourne!$AA$58:$AA$135,0))</f>
        <v/>
      </c>
      <c r="AO117" s="76" t="str">
        <f>IF($C117="","",Ramp1*$N117*ContribMargin-$P117-INDEX(LicPlan,AL117))</f>
        <v/>
      </c>
      <c r="AP117" s="76" t="str">
        <f>IF($C117="","",Ramp2*$N117*ContribMargin-$P117-INDEX(LicPlan,AL117))</f>
        <v/>
      </c>
      <c r="AR117" s="61" t="str">
        <f>IF($C117="","",MAX(Scale!$C$7,($D117+Scale!$C$8*($A117-$D117))^LOG(Scale!$C$6,2)))</f>
        <v/>
      </c>
      <c r="AS117" s="61" t="str">
        <f>IF($C117="","",1-IF(IF(Deal="Commit to the full plan",PlanStores,$A117)&gt;=PBAt4,Scale!$C$12,IF(IF(Deal="Commit to the full plan",PlanStores,$A117)&gt;=PBAt3,Scale!$C$11,IF(IF(Deal="Commit to the full plan",PlanStores,$A117)&gt;=PBAt2,Scale!$C$10,IF(IF(Deal="Commit to the full plan",PlanStores,$A117)&gt;=PBAt1,Scale!$C$9,0)))))</f>
        <v/>
      </c>
      <c r="AT117" s="61" t="str">
        <f>IF($C117="","",MAX(Scale!$D$7,($D117+Scale!$D$8*($A117-$D117))^LOG(Scale!$D$6,2)))</f>
        <v/>
      </c>
      <c r="AU117" s="61" t="str">
        <f>IF($C117="","",1-IF(IF(Deal="Commit to the full plan",PlanStores,$A117)&gt;=PBAt4,Scale!$D$12,IF(IF(Deal="Commit to the full plan",PlanStores,$A117)&gt;=PBAt3,Scale!$D$11,IF(IF(Deal="Commit to the full plan",PlanStores,$A117)&gt;=PBAt2,Scale!$D$10,IF(IF(Deal="Commit to the full plan",PlanStores,$A117)&gt;=PBAt1,Scale!$D$9,0)))))</f>
        <v/>
      </c>
      <c r="AV117" s="61" t="str">
        <f>IF($C117="","",MAX(Scale!$E$7,($D117+Scale!$E$8*($A117-$D117))^LOG(Scale!$E$6,2)))</f>
        <v/>
      </c>
      <c r="AW117" s="61" t="str">
        <f>IF($C117="","",1-IF(IF(Deal="Commit to the full plan",PlanStores,$A117)&gt;=PBAt4,Scale!$E$12,IF(IF(Deal="Commit to the full plan",PlanStores,$A117)&gt;=PBAt3,Scale!$E$11,IF(IF(Deal="Commit to the full plan",PlanStores,$A117)&gt;=PBAt2,Scale!$E$10,IF(IF(Deal="Commit to the full plan",PlanStores,$A117)&gt;=PBAt1,Scale!$E$9,0)))))</f>
        <v/>
      </c>
    </row>
    <row r="118">
      <c r="A118" s="110" t="n">
        <v>97</v>
      </c>
      <c r="B118" s="111" t="str">
        <f>IF($A118&gt;PlanStores,"",1+COUNTIF(CumOpenings,"&lt;"&amp;$A118))</f>
        <v/>
      </c>
      <c r="C118" s="14" t="str">
        <f>IF($A118&gt;PlanStores,"",IF(AND($A118=1,FlagshipFirst="Yes",INDEX(Target,1)&gt;0),"SPLUS",IF(AND(AI118&gt;=AJ118,AI118&gt;=AK118),"SPLUS",IF(AJ118&gt;=AK118,"S","D"))))</f>
        <v/>
      </c>
      <c r="D118" s="111" t="str">
        <f>IF($C118="","",IF($C118="SPLUS",AF118,IF($C118="S",AG118,AH118)))</f>
        <v/>
      </c>
      <c r="E118" s="112" t="str">
        <f>IF($C118="","",$D118+LearnShared*($A118-$D118))</f>
        <v/>
      </c>
      <c r="F118" s="85" t="str">
        <f>IF($C118="","",MAX(LearnFloor,$E118^LOG(LearnRate,2)))</f>
        <v/>
      </c>
      <c r="G118" s="85" t="str">
        <f>IF($C118="","",1-IF(IF(Deal="Commit to the full plan",PlanStores,$A118)&gt;=PBAt4,PBDisc4,IF(IF(Deal="Commit to the full plan",PlanStores,$A118)&gt;=PBAt3,PBDisc3,IF(IF(Deal="Commit to the full plan",PlanStores,$A118)&gt;=PBAt2,PBDisc2,IF(IF(Deal="Commit to the full plan",PlanStores,$A118)&gt;=PBAt1,PBDisc1,0)))))</f>
        <v/>
      </c>
      <c r="H118" s="39" t="str">
        <f>IF($C118="","",INDEX(BaseL,AL118)*$F118+INDEX(BaseV,AL118)*$G118+INDEX(BaseN,AL118))</f>
        <v/>
      </c>
      <c r="I118" s="39" t="str">
        <f>IF($C118="","",$H118*(1+BuildInflation)^($B118-1))</f>
        <v/>
      </c>
      <c r="J118" s="40" t="str">
        <f>IF($C118="","",IF(AN118="",IF(INDEX(Cand,AL118)=0,"No street of this size","Typical "&amp;LOWER(INDEX(TierNames,AL118))&amp;" street"),INDEX(Melbourne!$B$58:$B$135,AN118)))</f>
        <v/>
      </c>
      <c r="K118" s="40" t="str">
        <f>IF(OR($C118="",AN118=""),"",INDEX(Melbourne!$C$58:$C$135,AN118))</f>
        <v/>
      </c>
      <c r="L118" s="46" t="str">
        <f>IF($C118="","",IF(AN118="",INDEX(TypicalF,AL118),INDEX(Melbourne!$E$58:$E$135,AN118)))</f>
        <v/>
      </c>
      <c r="M118" s="86" t="str">
        <f>IF($C118="","",IF(AN118="",INDEX(TypicalQ,AL118),INDEX(Melbourne!$N$58:$N$135,AN118)))</f>
        <v/>
      </c>
      <c r="N118" s="39" t="str">
        <f>IF($C118="","",MIN($L118*Capture*$M118*Conversion*Ticket,INDEX(CapacityPsf,AL118)*INDEX(Area,AL118)))</f>
        <v/>
      </c>
      <c r="O118" s="39" t="str">
        <f>IF($C118="","",INDEX(Area,AL118)*RentPsf*($L118/Fref)^RentElasticity)</f>
        <v/>
      </c>
      <c r="P118" s="39" t="str">
        <f>IF($C118="","",$O118+INDEX(RunOther,AL118))</f>
        <v/>
      </c>
      <c r="Q118" s="95" t="str">
        <f>IF($C118="","",$N118*ContribMargin-$P118-INDEX(LicPlan,AL118))</f>
        <v/>
      </c>
      <c r="R118" s="113" t="str">
        <f>IF($C118="","",IF(AND(AO118&gt;=$H118,AO118&gt;0),$H118/AO118,IF(AND(AO118+AP118&gt;=$H118,AP118&gt;0),1+($H118-AO118)/AP118,IF($Q118&gt;0,2+($H118-AO118-AP118)/$Q118,"Never"))))</f>
        <v/>
      </c>
      <c r="S118" s="39" t="str">
        <f>IF($C118="","",StockWeeks/52*$N118*(1-GrossMargin))</f>
        <v/>
      </c>
      <c r="U118" s="95">
        <f>IF(OR($C118="",U$21&lt;$B118),0,IF(U$21=$B118,OpenYearShare,1)*($N118*ContribMargin*IF(U$21=$B118,Ramp1,IF(U$21=$B118+1,Ramp2,1))-$P118-INDEX(LicByYear,AL118,U$21)))</f>
        <v>0</v>
      </c>
      <c r="V118" s="95">
        <f>IF(OR($C118="",V$21&lt;$B118),0,IF(V$21=$B118,OpenYearShare,1)*($N118*ContribMargin*IF(V$21=$B118,Ramp1,IF(V$21=$B118+1,Ramp2,1))-$P118-INDEX(LicByYear,AL118,V$21)))</f>
        <v>0</v>
      </c>
      <c r="W118" s="95">
        <f>IF(OR($C118="",W$21&lt;$B118),0,IF(W$21=$B118,OpenYearShare,1)*($N118*ContribMargin*IF(W$21=$B118,Ramp1,IF(W$21=$B118+1,Ramp2,1))-$P118-INDEX(LicByYear,AL118,W$21)))</f>
        <v>0</v>
      </c>
      <c r="X118" s="95">
        <f>IF(OR($C118="",X$21&lt;$B118),0,IF(X$21=$B118,OpenYearShare,1)*($N118*ContribMargin*IF(X$21=$B118,Ramp1,IF(X$21=$B118+1,Ramp2,1))-$P118-INDEX(LicByYear,AL118,X$21)))</f>
        <v>0</v>
      </c>
      <c r="Y118" s="95">
        <f>IF(OR($C118="",Y$21&lt;$B118),0,IF(Y$21=$B118,OpenYearShare,1)*($N118*ContribMargin*IF(Y$21=$B118,Ramp1,IF(Y$21=$B118+1,Ramp2,1))-$P118-INDEX(LicByYear,AL118,Y$21)))</f>
        <v>0</v>
      </c>
      <c r="Z118" s="95">
        <f>IF(OR($C118="",Z$21&lt;$B118),0,IF(Z$21=$B118,OpenYearShare,1)*($N118*ContribMargin*IF(Z$21=$B118,Ramp1,IF(Z$21=$B118+1,Ramp2,1))-$P118-INDEX(LicByYear,AL118,Z$21)))</f>
        <v>0</v>
      </c>
      <c r="AA118" s="95">
        <f>IF(OR($C118="",AA$21&lt;$B118),0,IF(AA$21=$B118,OpenYearShare,1)*($N118*ContribMargin*IF(AA$21=$B118,Ramp1,IF(AA$21=$B118+1,Ramp2,1))-$P118-INDEX(LicByYear,AL118,AA$21)))</f>
        <v>0</v>
      </c>
      <c r="AB118" s="95">
        <f>IF(OR($C118="",AB$21&lt;$B118),0,IF(AB$21=$B118,OpenYearShare,1)*($N118*ContribMargin*IF(AB$21=$B118,Ramp1,IF(AB$21=$B118+1,Ramp2,1))-$P118-INDEX(LicByYear,AL118,AB$21)))</f>
        <v>0</v>
      </c>
      <c r="AC118" s="95">
        <f>IF(OR($C118="",AC$21&lt;$B118),0,IF(AC$21=$B118,OpenYearShare,1)*($N118*ContribMargin*IF(AC$21=$B118,Ramp1,IF(AC$21=$B118+1,Ramp2,1))-$P118-INDEX(LicByYear,AL118,AC$21)))</f>
        <v>0</v>
      </c>
      <c r="AD118" s="95">
        <f>IF(OR($C118="",AD$21&lt;$B118),0,IF(AD$21=$B118,OpenYearShare,1)*($N118*ContribMargin*IF(AD$21=$B118,Ramp1,IF(AD$21=$B118+1,Ramp2,1))-$P118-INDEX(LicByYear,AL118,AD$21)))</f>
        <v>0</v>
      </c>
      <c r="AF118" s="82">
        <f>AF117+IF($C118="SPLUS",1,0)</f>
        <v>7</v>
      </c>
      <c r="AG118" s="82">
        <f>AG117+IF($C118="S",1,0)</f>
        <v>15</v>
      </c>
      <c r="AH118" s="82">
        <f>AH117+IF($C118="D",1,0)</f>
        <v>8</v>
      </c>
      <c r="AI118" s="105">
        <f>IF(OR($A118&gt;PlanStores,AF117&gt;=INDEX(Target,1)),-1000000000,INDEX(Target,1)*$A118-AF117*PlanStores)</f>
        <v>-1000000000</v>
      </c>
      <c r="AJ118" s="105">
        <f>IF(OR($A118&gt;PlanStores,AG117&gt;=INDEX(Target,2)),-1000000000,INDEX(Target,2)*$A118-AG117*PlanStores)</f>
        <v>-1000000000</v>
      </c>
      <c r="AK118" s="105">
        <f>IF(OR($A118&gt;PlanStores,AH117&gt;=INDEX(Target,3)),-1000000000,INDEX(Target,3)*$A118-AH117*PlanStores)</f>
        <v>-1000000000</v>
      </c>
      <c r="AL118" s="82" t="str">
        <f>IF($C118="","",MATCH($C118,TierCodes,0))</f>
        <v/>
      </c>
      <c r="AM118" s="82" t="str">
        <f>IF($C118="","",IF(OR(StreetChoice="Typical street for its size",INDEX(Cand,AL118)=0),"",MOD($D118-1,INDEX(Cand,AL118))+1))</f>
        <v/>
      </c>
      <c r="AN118" s="82" t="str">
        <f>IF(AM118="","",MATCH($C118&amp;"|"&amp;AM118,Melbourne!$AA$58:$AA$135,0))</f>
        <v/>
      </c>
      <c r="AO118" s="76" t="str">
        <f>IF($C118="","",Ramp1*$N118*ContribMargin-$P118-INDEX(LicPlan,AL118))</f>
        <v/>
      </c>
      <c r="AP118" s="76" t="str">
        <f>IF($C118="","",Ramp2*$N118*ContribMargin-$P118-INDEX(LicPlan,AL118))</f>
        <v/>
      </c>
      <c r="AR118" s="61" t="str">
        <f>IF($C118="","",MAX(Scale!$C$7,($D118+Scale!$C$8*($A118-$D118))^LOG(Scale!$C$6,2)))</f>
        <v/>
      </c>
      <c r="AS118" s="61" t="str">
        <f>IF($C118="","",1-IF(IF(Deal="Commit to the full plan",PlanStores,$A118)&gt;=PBAt4,Scale!$C$12,IF(IF(Deal="Commit to the full plan",PlanStores,$A118)&gt;=PBAt3,Scale!$C$11,IF(IF(Deal="Commit to the full plan",PlanStores,$A118)&gt;=PBAt2,Scale!$C$10,IF(IF(Deal="Commit to the full plan",PlanStores,$A118)&gt;=PBAt1,Scale!$C$9,0)))))</f>
        <v/>
      </c>
      <c r="AT118" s="61" t="str">
        <f>IF($C118="","",MAX(Scale!$D$7,($D118+Scale!$D$8*($A118-$D118))^LOG(Scale!$D$6,2)))</f>
        <v/>
      </c>
      <c r="AU118" s="61" t="str">
        <f>IF($C118="","",1-IF(IF(Deal="Commit to the full plan",PlanStores,$A118)&gt;=PBAt4,Scale!$D$12,IF(IF(Deal="Commit to the full plan",PlanStores,$A118)&gt;=PBAt3,Scale!$D$11,IF(IF(Deal="Commit to the full plan",PlanStores,$A118)&gt;=PBAt2,Scale!$D$10,IF(IF(Deal="Commit to the full plan",PlanStores,$A118)&gt;=PBAt1,Scale!$D$9,0)))))</f>
        <v/>
      </c>
      <c r="AV118" s="61" t="str">
        <f>IF($C118="","",MAX(Scale!$E$7,($D118+Scale!$E$8*($A118-$D118))^LOG(Scale!$E$6,2)))</f>
        <v/>
      </c>
      <c r="AW118" s="61" t="str">
        <f>IF($C118="","",1-IF(IF(Deal="Commit to the full plan",PlanStores,$A118)&gt;=PBAt4,Scale!$E$12,IF(IF(Deal="Commit to the full plan",PlanStores,$A118)&gt;=PBAt3,Scale!$E$11,IF(IF(Deal="Commit to the full plan",PlanStores,$A118)&gt;=PBAt2,Scale!$E$10,IF(IF(Deal="Commit to the full plan",PlanStores,$A118)&gt;=PBAt1,Scale!$E$9,0)))))</f>
        <v/>
      </c>
    </row>
    <row r="119">
      <c r="A119" s="110" t="n">
        <v>98</v>
      </c>
      <c r="B119" s="111" t="str">
        <f>IF($A119&gt;PlanStores,"",1+COUNTIF(CumOpenings,"&lt;"&amp;$A119))</f>
        <v/>
      </c>
      <c r="C119" s="14" t="str">
        <f>IF($A119&gt;PlanStores,"",IF(AND($A119=1,FlagshipFirst="Yes",INDEX(Target,1)&gt;0),"SPLUS",IF(AND(AI119&gt;=AJ119,AI119&gt;=AK119),"SPLUS",IF(AJ119&gt;=AK119,"S","D"))))</f>
        <v/>
      </c>
      <c r="D119" s="111" t="str">
        <f>IF($C119="","",IF($C119="SPLUS",AF119,IF($C119="S",AG119,AH119)))</f>
        <v/>
      </c>
      <c r="E119" s="112" t="str">
        <f>IF($C119="","",$D119+LearnShared*($A119-$D119))</f>
        <v/>
      </c>
      <c r="F119" s="85" t="str">
        <f>IF($C119="","",MAX(LearnFloor,$E119^LOG(LearnRate,2)))</f>
        <v/>
      </c>
      <c r="G119" s="85" t="str">
        <f>IF($C119="","",1-IF(IF(Deal="Commit to the full plan",PlanStores,$A119)&gt;=PBAt4,PBDisc4,IF(IF(Deal="Commit to the full plan",PlanStores,$A119)&gt;=PBAt3,PBDisc3,IF(IF(Deal="Commit to the full plan",PlanStores,$A119)&gt;=PBAt2,PBDisc2,IF(IF(Deal="Commit to the full plan",PlanStores,$A119)&gt;=PBAt1,PBDisc1,0)))))</f>
        <v/>
      </c>
      <c r="H119" s="39" t="str">
        <f>IF($C119="","",INDEX(BaseL,AL119)*$F119+INDEX(BaseV,AL119)*$G119+INDEX(BaseN,AL119))</f>
        <v/>
      </c>
      <c r="I119" s="39" t="str">
        <f>IF($C119="","",$H119*(1+BuildInflation)^($B119-1))</f>
        <v/>
      </c>
      <c r="J119" s="40" t="str">
        <f>IF($C119="","",IF(AN119="",IF(INDEX(Cand,AL119)=0,"No street of this size","Typical "&amp;LOWER(INDEX(TierNames,AL119))&amp;" street"),INDEX(Melbourne!$B$58:$B$135,AN119)))</f>
        <v/>
      </c>
      <c r="K119" s="40" t="str">
        <f>IF(OR($C119="",AN119=""),"",INDEX(Melbourne!$C$58:$C$135,AN119))</f>
        <v/>
      </c>
      <c r="L119" s="46" t="str">
        <f>IF($C119="","",IF(AN119="",INDEX(TypicalF,AL119),INDEX(Melbourne!$E$58:$E$135,AN119)))</f>
        <v/>
      </c>
      <c r="M119" s="86" t="str">
        <f>IF($C119="","",IF(AN119="",INDEX(TypicalQ,AL119),INDEX(Melbourne!$N$58:$N$135,AN119)))</f>
        <v/>
      </c>
      <c r="N119" s="39" t="str">
        <f>IF($C119="","",MIN($L119*Capture*$M119*Conversion*Ticket,INDEX(CapacityPsf,AL119)*INDEX(Area,AL119)))</f>
        <v/>
      </c>
      <c r="O119" s="39" t="str">
        <f>IF($C119="","",INDEX(Area,AL119)*RentPsf*($L119/Fref)^RentElasticity)</f>
        <v/>
      </c>
      <c r="P119" s="39" t="str">
        <f>IF($C119="","",$O119+INDEX(RunOther,AL119))</f>
        <v/>
      </c>
      <c r="Q119" s="95" t="str">
        <f>IF($C119="","",$N119*ContribMargin-$P119-INDEX(LicPlan,AL119))</f>
        <v/>
      </c>
      <c r="R119" s="113" t="str">
        <f>IF($C119="","",IF(AND(AO119&gt;=$H119,AO119&gt;0),$H119/AO119,IF(AND(AO119+AP119&gt;=$H119,AP119&gt;0),1+($H119-AO119)/AP119,IF($Q119&gt;0,2+($H119-AO119-AP119)/$Q119,"Never"))))</f>
        <v/>
      </c>
      <c r="S119" s="39" t="str">
        <f>IF($C119="","",StockWeeks/52*$N119*(1-GrossMargin))</f>
        <v/>
      </c>
      <c r="U119" s="95">
        <f>IF(OR($C119="",U$21&lt;$B119),0,IF(U$21=$B119,OpenYearShare,1)*($N119*ContribMargin*IF(U$21=$B119,Ramp1,IF(U$21=$B119+1,Ramp2,1))-$P119-INDEX(LicByYear,AL119,U$21)))</f>
        <v>0</v>
      </c>
      <c r="V119" s="95">
        <f>IF(OR($C119="",V$21&lt;$B119),0,IF(V$21=$B119,OpenYearShare,1)*($N119*ContribMargin*IF(V$21=$B119,Ramp1,IF(V$21=$B119+1,Ramp2,1))-$P119-INDEX(LicByYear,AL119,V$21)))</f>
        <v>0</v>
      </c>
      <c r="W119" s="95">
        <f>IF(OR($C119="",W$21&lt;$B119),0,IF(W$21=$B119,OpenYearShare,1)*($N119*ContribMargin*IF(W$21=$B119,Ramp1,IF(W$21=$B119+1,Ramp2,1))-$P119-INDEX(LicByYear,AL119,W$21)))</f>
        <v>0</v>
      </c>
      <c r="X119" s="95">
        <f>IF(OR($C119="",X$21&lt;$B119),0,IF(X$21=$B119,OpenYearShare,1)*($N119*ContribMargin*IF(X$21=$B119,Ramp1,IF(X$21=$B119+1,Ramp2,1))-$P119-INDEX(LicByYear,AL119,X$21)))</f>
        <v>0</v>
      </c>
      <c r="Y119" s="95">
        <f>IF(OR($C119="",Y$21&lt;$B119),0,IF(Y$21=$B119,OpenYearShare,1)*($N119*ContribMargin*IF(Y$21=$B119,Ramp1,IF(Y$21=$B119+1,Ramp2,1))-$P119-INDEX(LicByYear,AL119,Y$21)))</f>
        <v>0</v>
      </c>
      <c r="Z119" s="95">
        <f>IF(OR($C119="",Z$21&lt;$B119),0,IF(Z$21=$B119,OpenYearShare,1)*($N119*ContribMargin*IF(Z$21=$B119,Ramp1,IF(Z$21=$B119+1,Ramp2,1))-$P119-INDEX(LicByYear,AL119,Z$21)))</f>
        <v>0</v>
      </c>
      <c r="AA119" s="95">
        <f>IF(OR($C119="",AA$21&lt;$B119),0,IF(AA$21=$B119,OpenYearShare,1)*($N119*ContribMargin*IF(AA$21=$B119,Ramp1,IF(AA$21=$B119+1,Ramp2,1))-$P119-INDEX(LicByYear,AL119,AA$21)))</f>
        <v>0</v>
      </c>
      <c r="AB119" s="95">
        <f>IF(OR($C119="",AB$21&lt;$B119),0,IF(AB$21=$B119,OpenYearShare,1)*($N119*ContribMargin*IF(AB$21=$B119,Ramp1,IF(AB$21=$B119+1,Ramp2,1))-$P119-INDEX(LicByYear,AL119,AB$21)))</f>
        <v>0</v>
      </c>
      <c r="AC119" s="95">
        <f>IF(OR($C119="",AC$21&lt;$B119),0,IF(AC$21=$B119,OpenYearShare,1)*($N119*ContribMargin*IF(AC$21=$B119,Ramp1,IF(AC$21=$B119+1,Ramp2,1))-$P119-INDEX(LicByYear,AL119,AC$21)))</f>
        <v>0</v>
      </c>
      <c r="AD119" s="95">
        <f>IF(OR($C119="",AD$21&lt;$B119),0,IF(AD$21=$B119,OpenYearShare,1)*($N119*ContribMargin*IF(AD$21=$B119,Ramp1,IF(AD$21=$B119+1,Ramp2,1))-$P119-INDEX(LicByYear,AL119,AD$21)))</f>
        <v>0</v>
      </c>
      <c r="AF119" s="82">
        <f>AF118+IF($C119="SPLUS",1,0)</f>
        <v>7</v>
      </c>
      <c r="AG119" s="82">
        <f>AG118+IF($C119="S",1,0)</f>
        <v>15</v>
      </c>
      <c r="AH119" s="82">
        <f>AH118+IF($C119="D",1,0)</f>
        <v>8</v>
      </c>
      <c r="AI119" s="105">
        <f>IF(OR($A119&gt;PlanStores,AF118&gt;=INDEX(Target,1)),-1000000000,INDEX(Target,1)*$A119-AF118*PlanStores)</f>
        <v>-1000000000</v>
      </c>
      <c r="AJ119" s="105">
        <f>IF(OR($A119&gt;PlanStores,AG118&gt;=INDEX(Target,2)),-1000000000,INDEX(Target,2)*$A119-AG118*PlanStores)</f>
        <v>-1000000000</v>
      </c>
      <c r="AK119" s="105">
        <f>IF(OR($A119&gt;PlanStores,AH118&gt;=INDEX(Target,3)),-1000000000,INDEX(Target,3)*$A119-AH118*PlanStores)</f>
        <v>-1000000000</v>
      </c>
      <c r="AL119" s="82" t="str">
        <f>IF($C119="","",MATCH($C119,TierCodes,0))</f>
        <v/>
      </c>
      <c r="AM119" s="82" t="str">
        <f>IF($C119="","",IF(OR(StreetChoice="Typical street for its size",INDEX(Cand,AL119)=0),"",MOD($D119-1,INDEX(Cand,AL119))+1))</f>
        <v/>
      </c>
      <c r="AN119" s="82" t="str">
        <f>IF(AM119="","",MATCH($C119&amp;"|"&amp;AM119,Melbourne!$AA$58:$AA$135,0))</f>
        <v/>
      </c>
      <c r="AO119" s="76" t="str">
        <f>IF($C119="","",Ramp1*$N119*ContribMargin-$P119-INDEX(LicPlan,AL119))</f>
        <v/>
      </c>
      <c r="AP119" s="76" t="str">
        <f>IF($C119="","",Ramp2*$N119*ContribMargin-$P119-INDEX(LicPlan,AL119))</f>
        <v/>
      </c>
      <c r="AR119" s="61" t="str">
        <f>IF($C119="","",MAX(Scale!$C$7,($D119+Scale!$C$8*($A119-$D119))^LOG(Scale!$C$6,2)))</f>
        <v/>
      </c>
      <c r="AS119" s="61" t="str">
        <f>IF($C119="","",1-IF(IF(Deal="Commit to the full plan",PlanStores,$A119)&gt;=PBAt4,Scale!$C$12,IF(IF(Deal="Commit to the full plan",PlanStores,$A119)&gt;=PBAt3,Scale!$C$11,IF(IF(Deal="Commit to the full plan",PlanStores,$A119)&gt;=PBAt2,Scale!$C$10,IF(IF(Deal="Commit to the full plan",PlanStores,$A119)&gt;=PBAt1,Scale!$C$9,0)))))</f>
        <v/>
      </c>
      <c r="AT119" s="61" t="str">
        <f>IF($C119="","",MAX(Scale!$D$7,($D119+Scale!$D$8*($A119-$D119))^LOG(Scale!$D$6,2)))</f>
        <v/>
      </c>
      <c r="AU119" s="61" t="str">
        <f>IF($C119="","",1-IF(IF(Deal="Commit to the full plan",PlanStores,$A119)&gt;=PBAt4,Scale!$D$12,IF(IF(Deal="Commit to the full plan",PlanStores,$A119)&gt;=PBAt3,Scale!$D$11,IF(IF(Deal="Commit to the full plan",PlanStores,$A119)&gt;=PBAt2,Scale!$D$10,IF(IF(Deal="Commit to the full plan",PlanStores,$A119)&gt;=PBAt1,Scale!$D$9,0)))))</f>
        <v/>
      </c>
      <c r="AV119" s="61" t="str">
        <f>IF($C119="","",MAX(Scale!$E$7,($D119+Scale!$E$8*($A119-$D119))^LOG(Scale!$E$6,2)))</f>
        <v/>
      </c>
      <c r="AW119" s="61" t="str">
        <f>IF($C119="","",1-IF(IF(Deal="Commit to the full plan",PlanStores,$A119)&gt;=PBAt4,Scale!$E$12,IF(IF(Deal="Commit to the full plan",PlanStores,$A119)&gt;=PBAt3,Scale!$E$11,IF(IF(Deal="Commit to the full plan",PlanStores,$A119)&gt;=PBAt2,Scale!$E$10,IF(IF(Deal="Commit to the full plan",PlanStores,$A119)&gt;=PBAt1,Scale!$E$9,0)))))</f>
        <v/>
      </c>
    </row>
    <row r="120">
      <c r="A120" s="110" t="n">
        <v>99</v>
      </c>
      <c r="B120" s="111" t="str">
        <f>IF($A120&gt;PlanStores,"",1+COUNTIF(CumOpenings,"&lt;"&amp;$A120))</f>
        <v/>
      </c>
      <c r="C120" s="14" t="str">
        <f>IF($A120&gt;PlanStores,"",IF(AND($A120=1,FlagshipFirst="Yes",INDEX(Target,1)&gt;0),"SPLUS",IF(AND(AI120&gt;=AJ120,AI120&gt;=AK120),"SPLUS",IF(AJ120&gt;=AK120,"S","D"))))</f>
        <v/>
      </c>
      <c r="D120" s="111" t="str">
        <f>IF($C120="","",IF($C120="SPLUS",AF120,IF($C120="S",AG120,AH120)))</f>
        <v/>
      </c>
      <c r="E120" s="112" t="str">
        <f>IF($C120="","",$D120+LearnShared*($A120-$D120))</f>
        <v/>
      </c>
      <c r="F120" s="85" t="str">
        <f>IF($C120="","",MAX(LearnFloor,$E120^LOG(LearnRate,2)))</f>
        <v/>
      </c>
      <c r="G120" s="85" t="str">
        <f>IF($C120="","",1-IF(IF(Deal="Commit to the full plan",PlanStores,$A120)&gt;=PBAt4,PBDisc4,IF(IF(Deal="Commit to the full plan",PlanStores,$A120)&gt;=PBAt3,PBDisc3,IF(IF(Deal="Commit to the full plan",PlanStores,$A120)&gt;=PBAt2,PBDisc2,IF(IF(Deal="Commit to the full plan",PlanStores,$A120)&gt;=PBAt1,PBDisc1,0)))))</f>
        <v/>
      </c>
      <c r="H120" s="39" t="str">
        <f>IF($C120="","",INDEX(BaseL,AL120)*$F120+INDEX(BaseV,AL120)*$G120+INDEX(BaseN,AL120))</f>
        <v/>
      </c>
      <c r="I120" s="39" t="str">
        <f>IF($C120="","",$H120*(1+BuildInflation)^($B120-1))</f>
        <v/>
      </c>
      <c r="J120" s="40" t="str">
        <f>IF($C120="","",IF(AN120="",IF(INDEX(Cand,AL120)=0,"No street of this size","Typical "&amp;LOWER(INDEX(TierNames,AL120))&amp;" street"),INDEX(Melbourne!$B$58:$B$135,AN120)))</f>
        <v/>
      </c>
      <c r="K120" s="40" t="str">
        <f>IF(OR($C120="",AN120=""),"",INDEX(Melbourne!$C$58:$C$135,AN120))</f>
        <v/>
      </c>
      <c r="L120" s="46" t="str">
        <f>IF($C120="","",IF(AN120="",INDEX(TypicalF,AL120),INDEX(Melbourne!$E$58:$E$135,AN120)))</f>
        <v/>
      </c>
      <c r="M120" s="86" t="str">
        <f>IF($C120="","",IF(AN120="",INDEX(TypicalQ,AL120),INDEX(Melbourne!$N$58:$N$135,AN120)))</f>
        <v/>
      </c>
      <c r="N120" s="39" t="str">
        <f>IF($C120="","",MIN($L120*Capture*$M120*Conversion*Ticket,INDEX(CapacityPsf,AL120)*INDEX(Area,AL120)))</f>
        <v/>
      </c>
      <c r="O120" s="39" t="str">
        <f>IF($C120="","",INDEX(Area,AL120)*RentPsf*($L120/Fref)^RentElasticity)</f>
        <v/>
      </c>
      <c r="P120" s="39" t="str">
        <f>IF($C120="","",$O120+INDEX(RunOther,AL120))</f>
        <v/>
      </c>
      <c r="Q120" s="95" t="str">
        <f>IF($C120="","",$N120*ContribMargin-$P120-INDEX(LicPlan,AL120))</f>
        <v/>
      </c>
      <c r="R120" s="113" t="str">
        <f>IF($C120="","",IF(AND(AO120&gt;=$H120,AO120&gt;0),$H120/AO120,IF(AND(AO120+AP120&gt;=$H120,AP120&gt;0),1+($H120-AO120)/AP120,IF($Q120&gt;0,2+($H120-AO120-AP120)/$Q120,"Never"))))</f>
        <v/>
      </c>
      <c r="S120" s="39" t="str">
        <f>IF($C120="","",StockWeeks/52*$N120*(1-GrossMargin))</f>
        <v/>
      </c>
      <c r="U120" s="95">
        <f>IF(OR($C120="",U$21&lt;$B120),0,IF(U$21=$B120,OpenYearShare,1)*($N120*ContribMargin*IF(U$21=$B120,Ramp1,IF(U$21=$B120+1,Ramp2,1))-$P120-INDEX(LicByYear,AL120,U$21)))</f>
        <v>0</v>
      </c>
      <c r="V120" s="95">
        <f>IF(OR($C120="",V$21&lt;$B120),0,IF(V$21=$B120,OpenYearShare,1)*($N120*ContribMargin*IF(V$21=$B120,Ramp1,IF(V$21=$B120+1,Ramp2,1))-$P120-INDEX(LicByYear,AL120,V$21)))</f>
        <v>0</v>
      </c>
      <c r="W120" s="95">
        <f>IF(OR($C120="",W$21&lt;$B120),0,IF(W$21=$B120,OpenYearShare,1)*($N120*ContribMargin*IF(W$21=$B120,Ramp1,IF(W$21=$B120+1,Ramp2,1))-$P120-INDEX(LicByYear,AL120,W$21)))</f>
        <v>0</v>
      </c>
      <c r="X120" s="95">
        <f>IF(OR($C120="",X$21&lt;$B120),0,IF(X$21=$B120,OpenYearShare,1)*($N120*ContribMargin*IF(X$21=$B120,Ramp1,IF(X$21=$B120+1,Ramp2,1))-$P120-INDEX(LicByYear,AL120,X$21)))</f>
        <v>0</v>
      </c>
      <c r="Y120" s="95">
        <f>IF(OR($C120="",Y$21&lt;$B120),0,IF(Y$21=$B120,OpenYearShare,1)*($N120*ContribMargin*IF(Y$21=$B120,Ramp1,IF(Y$21=$B120+1,Ramp2,1))-$P120-INDEX(LicByYear,AL120,Y$21)))</f>
        <v>0</v>
      </c>
      <c r="Z120" s="95">
        <f>IF(OR($C120="",Z$21&lt;$B120),0,IF(Z$21=$B120,OpenYearShare,1)*($N120*ContribMargin*IF(Z$21=$B120,Ramp1,IF(Z$21=$B120+1,Ramp2,1))-$P120-INDEX(LicByYear,AL120,Z$21)))</f>
        <v>0</v>
      </c>
      <c r="AA120" s="95">
        <f>IF(OR($C120="",AA$21&lt;$B120),0,IF(AA$21=$B120,OpenYearShare,1)*($N120*ContribMargin*IF(AA$21=$B120,Ramp1,IF(AA$21=$B120+1,Ramp2,1))-$P120-INDEX(LicByYear,AL120,AA$21)))</f>
        <v>0</v>
      </c>
      <c r="AB120" s="95">
        <f>IF(OR($C120="",AB$21&lt;$B120),0,IF(AB$21=$B120,OpenYearShare,1)*($N120*ContribMargin*IF(AB$21=$B120,Ramp1,IF(AB$21=$B120+1,Ramp2,1))-$P120-INDEX(LicByYear,AL120,AB$21)))</f>
        <v>0</v>
      </c>
      <c r="AC120" s="95">
        <f>IF(OR($C120="",AC$21&lt;$B120),0,IF(AC$21=$B120,OpenYearShare,1)*($N120*ContribMargin*IF(AC$21=$B120,Ramp1,IF(AC$21=$B120+1,Ramp2,1))-$P120-INDEX(LicByYear,AL120,AC$21)))</f>
        <v>0</v>
      </c>
      <c r="AD120" s="95">
        <f>IF(OR($C120="",AD$21&lt;$B120),0,IF(AD$21=$B120,OpenYearShare,1)*($N120*ContribMargin*IF(AD$21=$B120,Ramp1,IF(AD$21=$B120+1,Ramp2,1))-$P120-INDEX(LicByYear,AL120,AD$21)))</f>
        <v>0</v>
      </c>
      <c r="AF120" s="82">
        <f>AF119+IF($C120="SPLUS",1,0)</f>
        <v>7</v>
      </c>
      <c r="AG120" s="82">
        <f>AG119+IF($C120="S",1,0)</f>
        <v>15</v>
      </c>
      <c r="AH120" s="82">
        <f>AH119+IF($C120="D",1,0)</f>
        <v>8</v>
      </c>
      <c r="AI120" s="105">
        <f>IF(OR($A120&gt;PlanStores,AF119&gt;=INDEX(Target,1)),-1000000000,INDEX(Target,1)*$A120-AF119*PlanStores)</f>
        <v>-1000000000</v>
      </c>
      <c r="AJ120" s="105">
        <f>IF(OR($A120&gt;PlanStores,AG119&gt;=INDEX(Target,2)),-1000000000,INDEX(Target,2)*$A120-AG119*PlanStores)</f>
        <v>-1000000000</v>
      </c>
      <c r="AK120" s="105">
        <f>IF(OR($A120&gt;PlanStores,AH119&gt;=INDEX(Target,3)),-1000000000,INDEX(Target,3)*$A120-AH119*PlanStores)</f>
        <v>-1000000000</v>
      </c>
      <c r="AL120" s="82" t="str">
        <f>IF($C120="","",MATCH($C120,TierCodes,0))</f>
        <v/>
      </c>
      <c r="AM120" s="82" t="str">
        <f>IF($C120="","",IF(OR(StreetChoice="Typical street for its size",INDEX(Cand,AL120)=0),"",MOD($D120-1,INDEX(Cand,AL120))+1))</f>
        <v/>
      </c>
      <c r="AN120" s="82" t="str">
        <f>IF(AM120="","",MATCH($C120&amp;"|"&amp;AM120,Melbourne!$AA$58:$AA$135,0))</f>
        <v/>
      </c>
      <c r="AO120" s="76" t="str">
        <f>IF($C120="","",Ramp1*$N120*ContribMargin-$P120-INDEX(LicPlan,AL120))</f>
        <v/>
      </c>
      <c r="AP120" s="76" t="str">
        <f>IF($C120="","",Ramp2*$N120*ContribMargin-$P120-INDEX(LicPlan,AL120))</f>
        <v/>
      </c>
      <c r="AR120" s="61" t="str">
        <f>IF($C120="","",MAX(Scale!$C$7,($D120+Scale!$C$8*($A120-$D120))^LOG(Scale!$C$6,2)))</f>
        <v/>
      </c>
      <c r="AS120" s="61" t="str">
        <f>IF($C120="","",1-IF(IF(Deal="Commit to the full plan",PlanStores,$A120)&gt;=PBAt4,Scale!$C$12,IF(IF(Deal="Commit to the full plan",PlanStores,$A120)&gt;=PBAt3,Scale!$C$11,IF(IF(Deal="Commit to the full plan",PlanStores,$A120)&gt;=PBAt2,Scale!$C$10,IF(IF(Deal="Commit to the full plan",PlanStores,$A120)&gt;=PBAt1,Scale!$C$9,0)))))</f>
        <v/>
      </c>
      <c r="AT120" s="61" t="str">
        <f>IF($C120="","",MAX(Scale!$D$7,($D120+Scale!$D$8*($A120-$D120))^LOG(Scale!$D$6,2)))</f>
        <v/>
      </c>
      <c r="AU120" s="61" t="str">
        <f>IF($C120="","",1-IF(IF(Deal="Commit to the full plan",PlanStores,$A120)&gt;=PBAt4,Scale!$D$12,IF(IF(Deal="Commit to the full plan",PlanStores,$A120)&gt;=PBAt3,Scale!$D$11,IF(IF(Deal="Commit to the full plan",PlanStores,$A120)&gt;=PBAt2,Scale!$D$10,IF(IF(Deal="Commit to the full plan",PlanStores,$A120)&gt;=PBAt1,Scale!$D$9,0)))))</f>
        <v/>
      </c>
      <c r="AV120" s="61" t="str">
        <f>IF($C120="","",MAX(Scale!$E$7,($D120+Scale!$E$8*($A120-$D120))^LOG(Scale!$E$6,2)))</f>
        <v/>
      </c>
      <c r="AW120" s="61" t="str">
        <f>IF($C120="","",1-IF(IF(Deal="Commit to the full plan",PlanStores,$A120)&gt;=PBAt4,Scale!$E$12,IF(IF(Deal="Commit to the full plan",PlanStores,$A120)&gt;=PBAt3,Scale!$E$11,IF(IF(Deal="Commit to the full plan",PlanStores,$A120)&gt;=PBAt2,Scale!$E$10,IF(IF(Deal="Commit to the full plan",PlanStores,$A120)&gt;=PBAt1,Scale!$E$9,0)))))</f>
        <v/>
      </c>
    </row>
    <row r="121">
      <c r="A121" s="110" t="n">
        <v>100</v>
      </c>
      <c r="B121" s="111" t="str">
        <f>IF($A121&gt;PlanStores,"",1+COUNTIF(CumOpenings,"&lt;"&amp;$A121))</f>
        <v/>
      </c>
      <c r="C121" s="14" t="str">
        <f>IF($A121&gt;PlanStores,"",IF(AND($A121=1,FlagshipFirst="Yes",INDEX(Target,1)&gt;0),"SPLUS",IF(AND(AI121&gt;=AJ121,AI121&gt;=AK121),"SPLUS",IF(AJ121&gt;=AK121,"S","D"))))</f>
        <v/>
      </c>
      <c r="D121" s="111" t="str">
        <f>IF($C121="","",IF($C121="SPLUS",AF121,IF($C121="S",AG121,AH121)))</f>
        <v/>
      </c>
      <c r="E121" s="112" t="str">
        <f>IF($C121="","",$D121+LearnShared*($A121-$D121))</f>
        <v/>
      </c>
      <c r="F121" s="85" t="str">
        <f>IF($C121="","",MAX(LearnFloor,$E121^LOG(LearnRate,2)))</f>
        <v/>
      </c>
      <c r="G121" s="85" t="str">
        <f>IF($C121="","",1-IF(IF(Deal="Commit to the full plan",PlanStores,$A121)&gt;=PBAt4,PBDisc4,IF(IF(Deal="Commit to the full plan",PlanStores,$A121)&gt;=PBAt3,PBDisc3,IF(IF(Deal="Commit to the full plan",PlanStores,$A121)&gt;=PBAt2,PBDisc2,IF(IF(Deal="Commit to the full plan",PlanStores,$A121)&gt;=PBAt1,PBDisc1,0)))))</f>
        <v/>
      </c>
      <c r="H121" s="39" t="str">
        <f>IF($C121="","",INDEX(BaseL,AL121)*$F121+INDEX(BaseV,AL121)*$G121+INDEX(BaseN,AL121))</f>
        <v/>
      </c>
      <c r="I121" s="39" t="str">
        <f>IF($C121="","",$H121*(1+BuildInflation)^($B121-1))</f>
        <v/>
      </c>
      <c r="J121" s="40" t="str">
        <f>IF($C121="","",IF(AN121="",IF(INDEX(Cand,AL121)=0,"No street of this size","Typical "&amp;LOWER(INDEX(TierNames,AL121))&amp;" street"),INDEX(Melbourne!$B$58:$B$135,AN121)))</f>
        <v/>
      </c>
      <c r="K121" s="40" t="str">
        <f>IF(OR($C121="",AN121=""),"",INDEX(Melbourne!$C$58:$C$135,AN121))</f>
        <v/>
      </c>
      <c r="L121" s="46" t="str">
        <f>IF($C121="","",IF(AN121="",INDEX(TypicalF,AL121),INDEX(Melbourne!$E$58:$E$135,AN121)))</f>
        <v/>
      </c>
      <c r="M121" s="86" t="str">
        <f>IF($C121="","",IF(AN121="",INDEX(TypicalQ,AL121),INDEX(Melbourne!$N$58:$N$135,AN121)))</f>
        <v/>
      </c>
      <c r="N121" s="39" t="str">
        <f>IF($C121="","",MIN($L121*Capture*$M121*Conversion*Ticket,INDEX(CapacityPsf,AL121)*INDEX(Area,AL121)))</f>
        <v/>
      </c>
      <c r="O121" s="39" t="str">
        <f>IF($C121="","",INDEX(Area,AL121)*RentPsf*($L121/Fref)^RentElasticity)</f>
        <v/>
      </c>
      <c r="P121" s="39" t="str">
        <f>IF($C121="","",$O121+INDEX(RunOther,AL121))</f>
        <v/>
      </c>
      <c r="Q121" s="95" t="str">
        <f>IF($C121="","",$N121*ContribMargin-$P121-INDEX(LicPlan,AL121))</f>
        <v/>
      </c>
      <c r="R121" s="113" t="str">
        <f>IF($C121="","",IF(AND(AO121&gt;=$H121,AO121&gt;0),$H121/AO121,IF(AND(AO121+AP121&gt;=$H121,AP121&gt;0),1+($H121-AO121)/AP121,IF($Q121&gt;0,2+($H121-AO121-AP121)/$Q121,"Never"))))</f>
        <v/>
      </c>
      <c r="S121" s="39" t="str">
        <f>IF($C121="","",StockWeeks/52*$N121*(1-GrossMargin))</f>
        <v/>
      </c>
      <c r="U121" s="95">
        <f>IF(OR($C121="",U$21&lt;$B121),0,IF(U$21=$B121,OpenYearShare,1)*($N121*ContribMargin*IF(U$21=$B121,Ramp1,IF(U$21=$B121+1,Ramp2,1))-$P121-INDEX(LicByYear,AL121,U$21)))</f>
        <v>0</v>
      </c>
      <c r="V121" s="95">
        <f>IF(OR($C121="",V$21&lt;$B121),0,IF(V$21=$B121,OpenYearShare,1)*($N121*ContribMargin*IF(V$21=$B121,Ramp1,IF(V$21=$B121+1,Ramp2,1))-$P121-INDEX(LicByYear,AL121,V$21)))</f>
        <v>0</v>
      </c>
      <c r="W121" s="95">
        <f>IF(OR($C121="",W$21&lt;$B121),0,IF(W$21=$B121,OpenYearShare,1)*($N121*ContribMargin*IF(W$21=$B121,Ramp1,IF(W$21=$B121+1,Ramp2,1))-$P121-INDEX(LicByYear,AL121,W$21)))</f>
        <v>0</v>
      </c>
      <c r="X121" s="95">
        <f>IF(OR($C121="",X$21&lt;$B121),0,IF(X$21=$B121,OpenYearShare,1)*($N121*ContribMargin*IF(X$21=$B121,Ramp1,IF(X$21=$B121+1,Ramp2,1))-$P121-INDEX(LicByYear,AL121,X$21)))</f>
        <v>0</v>
      </c>
      <c r="Y121" s="95">
        <f>IF(OR($C121="",Y$21&lt;$B121),0,IF(Y$21=$B121,OpenYearShare,1)*($N121*ContribMargin*IF(Y$21=$B121,Ramp1,IF(Y$21=$B121+1,Ramp2,1))-$P121-INDEX(LicByYear,AL121,Y$21)))</f>
        <v>0</v>
      </c>
      <c r="Z121" s="95">
        <f>IF(OR($C121="",Z$21&lt;$B121),0,IF(Z$21=$B121,OpenYearShare,1)*($N121*ContribMargin*IF(Z$21=$B121,Ramp1,IF(Z$21=$B121+1,Ramp2,1))-$P121-INDEX(LicByYear,AL121,Z$21)))</f>
        <v>0</v>
      </c>
      <c r="AA121" s="95">
        <f>IF(OR($C121="",AA$21&lt;$B121),0,IF(AA$21=$B121,OpenYearShare,1)*($N121*ContribMargin*IF(AA$21=$B121,Ramp1,IF(AA$21=$B121+1,Ramp2,1))-$P121-INDEX(LicByYear,AL121,AA$21)))</f>
        <v>0</v>
      </c>
      <c r="AB121" s="95">
        <f>IF(OR($C121="",AB$21&lt;$B121),0,IF(AB$21=$B121,OpenYearShare,1)*($N121*ContribMargin*IF(AB$21=$B121,Ramp1,IF(AB$21=$B121+1,Ramp2,1))-$P121-INDEX(LicByYear,AL121,AB$21)))</f>
        <v>0</v>
      </c>
      <c r="AC121" s="95">
        <f>IF(OR($C121="",AC$21&lt;$B121),0,IF(AC$21=$B121,OpenYearShare,1)*($N121*ContribMargin*IF(AC$21=$B121,Ramp1,IF(AC$21=$B121+1,Ramp2,1))-$P121-INDEX(LicByYear,AL121,AC$21)))</f>
        <v>0</v>
      </c>
      <c r="AD121" s="95">
        <f>IF(OR($C121="",AD$21&lt;$B121),0,IF(AD$21=$B121,OpenYearShare,1)*($N121*ContribMargin*IF(AD$21=$B121,Ramp1,IF(AD$21=$B121+1,Ramp2,1))-$P121-INDEX(LicByYear,AL121,AD$21)))</f>
        <v>0</v>
      </c>
      <c r="AF121" s="82">
        <f>AF120+IF($C121="SPLUS",1,0)</f>
        <v>7</v>
      </c>
      <c r="AG121" s="82">
        <f>AG120+IF($C121="S",1,0)</f>
        <v>15</v>
      </c>
      <c r="AH121" s="82">
        <f>AH120+IF($C121="D",1,0)</f>
        <v>8</v>
      </c>
      <c r="AI121" s="105">
        <f>IF(OR($A121&gt;PlanStores,AF120&gt;=INDEX(Target,1)),-1000000000,INDEX(Target,1)*$A121-AF120*PlanStores)</f>
        <v>-1000000000</v>
      </c>
      <c r="AJ121" s="105">
        <f>IF(OR($A121&gt;PlanStores,AG120&gt;=INDEX(Target,2)),-1000000000,INDEX(Target,2)*$A121-AG120*PlanStores)</f>
        <v>-1000000000</v>
      </c>
      <c r="AK121" s="105">
        <f>IF(OR($A121&gt;PlanStores,AH120&gt;=INDEX(Target,3)),-1000000000,INDEX(Target,3)*$A121-AH120*PlanStores)</f>
        <v>-1000000000</v>
      </c>
      <c r="AL121" s="82" t="str">
        <f>IF($C121="","",MATCH($C121,TierCodes,0))</f>
        <v/>
      </c>
      <c r="AM121" s="82" t="str">
        <f>IF($C121="","",IF(OR(StreetChoice="Typical street for its size",INDEX(Cand,AL121)=0),"",MOD($D121-1,INDEX(Cand,AL121))+1))</f>
        <v/>
      </c>
      <c r="AN121" s="82" t="str">
        <f>IF(AM121="","",MATCH($C121&amp;"|"&amp;AM121,Melbourne!$AA$58:$AA$135,0))</f>
        <v/>
      </c>
      <c r="AO121" s="76" t="str">
        <f>IF($C121="","",Ramp1*$N121*ContribMargin-$P121-INDEX(LicPlan,AL121))</f>
        <v/>
      </c>
      <c r="AP121" s="76" t="str">
        <f>IF($C121="","",Ramp2*$N121*ContribMargin-$P121-INDEX(LicPlan,AL121))</f>
        <v/>
      </c>
      <c r="AR121" s="61" t="str">
        <f>IF($C121="","",MAX(Scale!$C$7,($D121+Scale!$C$8*($A121-$D121))^LOG(Scale!$C$6,2)))</f>
        <v/>
      </c>
      <c r="AS121" s="61" t="str">
        <f>IF($C121="","",1-IF(IF(Deal="Commit to the full plan",PlanStores,$A121)&gt;=PBAt4,Scale!$C$12,IF(IF(Deal="Commit to the full plan",PlanStores,$A121)&gt;=PBAt3,Scale!$C$11,IF(IF(Deal="Commit to the full plan",PlanStores,$A121)&gt;=PBAt2,Scale!$C$10,IF(IF(Deal="Commit to the full plan",PlanStores,$A121)&gt;=PBAt1,Scale!$C$9,0)))))</f>
        <v/>
      </c>
      <c r="AT121" s="61" t="str">
        <f>IF($C121="","",MAX(Scale!$D$7,($D121+Scale!$D$8*($A121-$D121))^LOG(Scale!$D$6,2)))</f>
        <v/>
      </c>
      <c r="AU121" s="61" t="str">
        <f>IF($C121="","",1-IF(IF(Deal="Commit to the full plan",PlanStores,$A121)&gt;=PBAt4,Scale!$D$12,IF(IF(Deal="Commit to the full plan",PlanStores,$A121)&gt;=PBAt3,Scale!$D$11,IF(IF(Deal="Commit to the full plan",PlanStores,$A121)&gt;=PBAt2,Scale!$D$10,IF(IF(Deal="Commit to the full plan",PlanStores,$A121)&gt;=PBAt1,Scale!$D$9,0)))))</f>
        <v/>
      </c>
      <c r="AV121" s="61" t="str">
        <f>IF($C121="","",MAX(Scale!$E$7,($D121+Scale!$E$8*($A121-$D121))^LOG(Scale!$E$6,2)))</f>
        <v/>
      </c>
      <c r="AW121" s="61" t="str">
        <f>IF($C121="","",1-IF(IF(Deal="Commit to the full plan",PlanStores,$A121)&gt;=PBAt4,Scale!$E$12,IF(IF(Deal="Commit to the full plan",PlanStores,$A121)&gt;=PBAt3,Scale!$E$11,IF(IF(Deal="Commit to the full plan",PlanStores,$A121)&gt;=PBAt2,Scale!$E$10,IF(IF(Deal="Commit to the full plan",PlanStores,$A121)&gt;=PBAt1,Scale!$E$9,0)))))</f>
        <v/>
      </c>
    </row>
  </sheetData>
  <mergeCells count="12">
    <mergeCell ref="A15:B15"/>
    <mergeCell ref="A7:B7"/>
    <mergeCell ref="E20:I20"/>
    <mergeCell ref="A20:D20"/>
    <mergeCell ref="J20:M20"/>
    <mergeCell ref="A13:B13"/>
    <mergeCell ref="A14:B14"/>
    <mergeCell ref="A9:B9"/>
    <mergeCell ref="A8:B8"/>
    <mergeCell ref="U20:AD20"/>
    <mergeCell ref="A6:B6"/>
    <mergeCell ref="N20:S20"/>
  </mergeCells>
  <conditionalFormatting sqref="C22:C121">
    <cfRule type="expression" priority="1" dxfId="9">
      <formula>C22="SPLUS"</formula>
    </cfRule>
    <cfRule type="expression" priority="2" dxfId="10">
      <formula>C22="S"</formula>
    </cfRule>
    <cfRule type="expression" priority="3" dxfId="11">
      <formula>C22="D"</formula>
    </cfRule>
  </conditionalFormatting>
  <conditionalFormatting sqref="R22:R121">
    <cfRule type="expression" priority="4" dxfId="2">
      <formula>AND($C22&lt;&gt;"",OR(R22="Never",N(R22)&gt;PaybackYears))</formula>
    </cfRule>
    <cfRule type="expression" priority="5" dxfId="12">
      <formula>AND($C22&lt;&gt;"",ISNUMBER(R22),N(R22)&lt;=PaybackYears)</formula>
    </cfRule>
  </conditionalFormatting>
  <pageMargins left="0.75" right="0.75" top="1" bottom="1" header="0.5" footer="0.5"/>
  <pageSetup orientation="landscape" fitToHeight="0" fitToWidth="1"/>
</worksheet>
</file>

<file path=xl/worksheets/sheet8.xml><?xml version="1.0" encoding="utf-8"?>
<worksheet xmlns="http://schemas.openxmlformats.org/spreadsheetml/2006/main">
  <sheetPr>
    <tabColor rgb="00EE6B37"/>
    <outlinePr summaryBelow="1" summaryRight="1"/>
    <pageSetUpPr fitToPage="1"/>
  </sheetPr>
  <dimension ref="B1:M52"/>
  <sheetViews>
    <sheetView showGridLines="0" zoomScale="100" workbookViewId="0">
      <pane xSplit="2" ySplit="4" topLeftCell="C5" activePane="bottomRight" state="frozen"/>
      <selection pane="topRight"/>
      <selection pane="bottomLeft"/>
      <selection pane="bottomRight" activeCell="A1" sqref="A1"/>
    </sheetView>
  </sheetViews>
  <sheetFormatPr baseColWidth="8" defaultRowHeight="15"/>
  <cols>
    <col width="2" customWidth="1" min="1" max="1"/>
    <col width="52"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4" customWidth="1" min="13" max="13"/>
    <col width="3" customWidth="1" min="14" max="14"/>
    <col width="40" customWidth="1" min="15" max="15"/>
  </cols>
  <sheetData>
    <row r="1" ht="30" customHeight="1">
      <c r="B1" s="32" t="inlineStr">
        <is>
          <t>Program · the whole rollout, year by year</t>
        </is>
      </c>
    </row>
    <row r="2">
      <c r="B2" s="33" t="inlineStr">
        <is>
          <t>Builds are in each opening year's dollars (with build inflation). Store profit follows the sales ramp; the opening year is part-traded. Program costs start with the first store.</t>
        </is>
      </c>
    </row>
    <row r="3">
      <c r="C3" s="114" t="n">
        <v>1</v>
      </c>
      <c r="D3" s="114" t="n">
        <v>2</v>
      </c>
      <c r="E3" s="114" t="n">
        <v>3</v>
      </c>
      <c r="F3" s="114" t="n">
        <v>4</v>
      </c>
      <c r="G3" s="114" t="n">
        <v>5</v>
      </c>
      <c r="H3" s="114" t="n">
        <v>6</v>
      </c>
      <c r="I3" s="114" t="n">
        <v>7</v>
      </c>
      <c r="J3" s="114" t="n">
        <v>8</v>
      </c>
      <c r="K3" s="114" t="n">
        <v>9</v>
      </c>
      <c r="L3" s="114" t="n">
        <v>10</v>
      </c>
    </row>
    <row r="4" ht="18" customHeight="1">
      <c r="B4" s="10" t="inlineStr"/>
      <c r="C4" s="11" t="inlineStr">
        <is>
          <t>Year 1</t>
        </is>
      </c>
      <c r="D4" s="11" t="inlineStr">
        <is>
          <t>Year 2</t>
        </is>
      </c>
      <c r="E4" s="11" t="inlineStr">
        <is>
          <t>Year 3</t>
        </is>
      </c>
      <c r="F4" s="11" t="inlineStr">
        <is>
          <t>Year 4</t>
        </is>
      </c>
      <c r="G4" s="11" t="inlineStr">
        <is>
          <t>Year 5</t>
        </is>
      </c>
      <c r="H4" s="11" t="inlineStr">
        <is>
          <t>Year 6</t>
        </is>
      </c>
      <c r="I4" s="11" t="inlineStr">
        <is>
          <t>Year 7</t>
        </is>
      </c>
      <c r="J4" s="11" t="inlineStr">
        <is>
          <t>Year 8</t>
        </is>
      </c>
      <c r="K4" s="11" t="inlineStr">
        <is>
          <t>Year 9</t>
        </is>
      </c>
      <c r="L4" s="11" t="inlineStr">
        <is>
          <t>Year 10</t>
        </is>
      </c>
      <c r="M4" s="11" t="inlineStr">
        <is>
          <t>Total</t>
        </is>
      </c>
    </row>
    <row r="5" ht="20" customHeight="1">
      <c r="B5" s="4" t="inlineStr">
        <is>
          <t>Stores</t>
        </is>
      </c>
      <c r="C5" s="5" t="n"/>
      <c r="D5" s="5" t="n"/>
      <c r="E5" s="5" t="n"/>
      <c r="F5" s="5" t="n"/>
      <c r="G5" s="5" t="n"/>
      <c r="H5" s="5" t="n"/>
      <c r="I5" s="5" t="n"/>
      <c r="J5" s="5" t="n"/>
      <c r="K5" s="5" t="n"/>
      <c r="L5" s="5" t="n"/>
      <c r="M5" s="5" t="n"/>
    </row>
    <row r="6">
      <c r="B6" s="8" t="inlineStr">
        <is>
          <t>Flagship stores opened (SPLUS)</t>
        </is>
      </c>
      <c r="C6" s="46">
        <f>COUNTIFS(Rollout!$B$22:$B$121,C$3,Rollout!$C$22:$C$121,"SPLUS")</f>
        <v>1</v>
      </c>
      <c r="D6" s="46">
        <f>COUNTIFS(Rollout!$B$22:$B$121,D$3,Rollout!$C$22:$C$121,"SPLUS")</f>
        <v>0</v>
      </c>
      <c r="E6" s="46">
        <f>COUNTIFS(Rollout!$B$22:$B$121,E$3,Rollout!$C$22:$C$121,"SPLUS")</f>
        <v>2</v>
      </c>
      <c r="F6" s="46">
        <f>COUNTIFS(Rollout!$B$22:$B$121,F$3,Rollout!$C$22:$C$121,"SPLUS")</f>
        <v>2</v>
      </c>
      <c r="G6" s="46">
        <f>COUNTIFS(Rollout!$B$22:$B$121,G$3,Rollout!$C$22:$C$121,"SPLUS")</f>
        <v>2</v>
      </c>
      <c r="H6" s="46">
        <f>COUNTIFS(Rollout!$B$22:$B$121,H$3,Rollout!$C$22:$C$121,"SPLUS")</f>
        <v>0</v>
      </c>
      <c r="I6" s="46">
        <f>COUNTIFS(Rollout!$B$22:$B$121,I$3,Rollout!$C$22:$C$121,"SPLUS")</f>
        <v>0</v>
      </c>
      <c r="J6" s="46">
        <f>COUNTIFS(Rollout!$B$22:$B$121,J$3,Rollout!$C$22:$C$121,"SPLUS")</f>
        <v>0</v>
      </c>
      <c r="K6" s="46">
        <f>COUNTIFS(Rollout!$B$22:$B$121,K$3,Rollout!$C$22:$C$121,"SPLUS")</f>
        <v>0</v>
      </c>
      <c r="L6" s="46">
        <f>COUNTIFS(Rollout!$B$22:$B$121,L$3,Rollout!$C$22:$C$121,"SPLUS")</f>
        <v>0</v>
      </c>
      <c r="M6" s="47">
        <f>SUM(C6:L6)</f>
        <v>7</v>
      </c>
    </row>
    <row r="7">
      <c r="B7" s="8" t="inlineStr">
        <is>
          <t>Standard stores opened (S)</t>
        </is>
      </c>
      <c r="C7" s="46">
        <f>COUNTIFS(Rollout!$B$22:$B$121,C$3,Rollout!$C$22:$C$121,"S")</f>
        <v>1</v>
      </c>
      <c r="D7" s="46">
        <f>COUNTIFS(Rollout!$B$22:$B$121,D$3,Rollout!$C$22:$C$121,"S")</f>
        <v>2</v>
      </c>
      <c r="E7" s="46">
        <f>COUNTIFS(Rollout!$B$22:$B$121,E$3,Rollout!$C$22:$C$121,"S")</f>
        <v>3</v>
      </c>
      <c r="F7" s="46">
        <f>COUNTIFS(Rollout!$B$22:$B$121,F$3,Rollout!$C$22:$C$121,"S")</f>
        <v>4</v>
      </c>
      <c r="G7" s="46">
        <f>COUNTIFS(Rollout!$B$22:$B$121,G$3,Rollout!$C$22:$C$121,"S")</f>
        <v>5</v>
      </c>
      <c r="H7" s="46">
        <f>COUNTIFS(Rollout!$B$22:$B$121,H$3,Rollout!$C$22:$C$121,"S")</f>
        <v>0</v>
      </c>
      <c r="I7" s="46">
        <f>COUNTIFS(Rollout!$B$22:$B$121,I$3,Rollout!$C$22:$C$121,"S")</f>
        <v>0</v>
      </c>
      <c r="J7" s="46">
        <f>COUNTIFS(Rollout!$B$22:$B$121,J$3,Rollout!$C$22:$C$121,"S")</f>
        <v>0</v>
      </c>
      <c r="K7" s="46">
        <f>COUNTIFS(Rollout!$B$22:$B$121,K$3,Rollout!$C$22:$C$121,"S")</f>
        <v>0</v>
      </c>
      <c r="L7" s="46">
        <f>COUNTIFS(Rollout!$B$22:$B$121,L$3,Rollout!$C$22:$C$121,"S")</f>
        <v>0</v>
      </c>
      <c r="M7" s="47">
        <f>SUM(C7:L7)</f>
        <v>15</v>
      </c>
    </row>
    <row r="8">
      <c r="B8" s="8" t="inlineStr">
        <is>
          <t>Small stores opened (D)</t>
        </is>
      </c>
      <c r="C8" s="46">
        <f>COUNTIFS(Rollout!$B$22:$B$121,C$3,Rollout!$C$22:$C$121,"D")</f>
        <v>0</v>
      </c>
      <c r="D8" s="46">
        <f>COUNTIFS(Rollout!$B$22:$B$121,D$3,Rollout!$C$22:$C$121,"D")</f>
        <v>2</v>
      </c>
      <c r="E8" s="46">
        <f>COUNTIFS(Rollout!$B$22:$B$121,E$3,Rollout!$C$22:$C$121,"D")</f>
        <v>1</v>
      </c>
      <c r="F8" s="46">
        <f>COUNTIFS(Rollout!$B$22:$B$121,F$3,Rollout!$C$22:$C$121,"D")</f>
        <v>2</v>
      </c>
      <c r="G8" s="46">
        <f>COUNTIFS(Rollout!$B$22:$B$121,G$3,Rollout!$C$22:$C$121,"D")</f>
        <v>3</v>
      </c>
      <c r="H8" s="46">
        <f>COUNTIFS(Rollout!$B$22:$B$121,H$3,Rollout!$C$22:$C$121,"D")</f>
        <v>0</v>
      </c>
      <c r="I8" s="46">
        <f>COUNTIFS(Rollout!$B$22:$B$121,I$3,Rollout!$C$22:$C$121,"D")</f>
        <v>0</v>
      </c>
      <c r="J8" s="46">
        <f>COUNTIFS(Rollout!$B$22:$B$121,J$3,Rollout!$C$22:$C$121,"D")</f>
        <v>0</v>
      </c>
      <c r="K8" s="46">
        <f>COUNTIFS(Rollout!$B$22:$B$121,K$3,Rollout!$C$22:$C$121,"D")</f>
        <v>0</v>
      </c>
      <c r="L8" s="46">
        <f>COUNTIFS(Rollout!$B$22:$B$121,L$3,Rollout!$C$22:$C$121,"D")</f>
        <v>0</v>
      </c>
      <c r="M8" s="47">
        <f>SUM(C8:L8)</f>
        <v>8</v>
      </c>
    </row>
    <row r="9">
      <c r="B9" s="34" t="inlineStr">
        <is>
          <t>Stores opened</t>
        </is>
      </c>
      <c r="C9" s="47">
        <f>SUM(C6:C8)</f>
        <v>2</v>
      </c>
      <c r="D9" s="47">
        <f>SUM(D6:D8)</f>
        <v>4</v>
      </c>
      <c r="E9" s="47">
        <f>SUM(E6:E8)</f>
        <v>6</v>
      </c>
      <c r="F9" s="47">
        <f>SUM(F6:F8)</f>
        <v>8</v>
      </c>
      <c r="G9" s="47">
        <f>SUM(G6:G8)</f>
        <v>10</v>
      </c>
      <c r="H9" s="47">
        <f>SUM(H6:H8)</f>
        <v>0</v>
      </c>
      <c r="I9" s="47">
        <f>SUM(I6:I8)</f>
        <v>0</v>
      </c>
      <c r="J9" s="47">
        <f>SUM(J6:J8)</f>
        <v>0</v>
      </c>
      <c r="K9" s="47">
        <f>SUM(K6:K8)</f>
        <v>0</v>
      </c>
      <c r="L9" s="47">
        <f>SUM(L6:L8)</f>
        <v>0</v>
      </c>
      <c r="M9" s="47">
        <f>SUM(C9:L9)</f>
        <v>30</v>
      </c>
    </row>
    <row r="10">
      <c r="B10" s="8" t="inlineStr">
        <is>
          <t>Stores open at year end</t>
        </is>
      </c>
      <c r="C10" s="46">
        <f>SUM($C$9:C9)</f>
        <v>2</v>
      </c>
      <c r="D10" s="46">
        <f>SUM($C$9:D9)</f>
        <v>6</v>
      </c>
      <c r="E10" s="46">
        <f>SUM($C$9:E9)</f>
        <v>12</v>
      </c>
      <c r="F10" s="46">
        <f>SUM($C$9:F9)</f>
        <v>20</v>
      </c>
      <c r="G10" s="46">
        <f>SUM($C$9:G9)</f>
        <v>30</v>
      </c>
      <c r="H10" s="46">
        <f>SUM($C$9:H9)</f>
        <v>30</v>
      </c>
      <c r="I10" s="46">
        <f>SUM($C$9:I9)</f>
        <v>30</v>
      </c>
      <c r="J10" s="46">
        <f>SUM($C$9:J9)</f>
        <v>30</v>
      </c>
      <c r="K10" s="46">
        <f>SUM($C$9:K9)</f>
        <v>30</v>
      </c>
      <c r="L10" s="46">
        <f>SUM($C$9:L9)</f>
        <v>30</v>
      </c>
    </row>
    <row r="11" ht="20" customHeight="1">
      <c r="B11" s="4" t="inlineStr">
        <is>
          <t>Investment</t>
        </is>
      </c>
      <c r="C11" s="5" t="n"/>
      <c r="D11" s="5" t="n"/>
      <c r="E11" s="5" t="n"/>
      <c r="F11" s="5" t="n"/>
      <c r="G11" s="5" t="n"/>
      <c r="H11" s="5" t="n"/>
      <c r="I11" s="5" t="n"/>
      <c r="J11" s="5" t="n"/>
      <c r="K11" s="5" t="n"/>
      <c r="L11" s="5" t="n"/>
      <c r="M11" s="5" t="n"/>
    </row>
    <row r="12">
      <c r="B12" s="8" t="inlineStr">
        <is>
          <t>Store builds</t>
        </is>
      </c>
      <c r="C12" s="39">
        <f>SUMIFS(Rollout!$I$22:$I$121,Rollout!$B$22:$B$121,C$3)</f>
        <v>2194364.1748952</v>
      </c>
      <c r="D12" s="39">
        <f>SUMIFS(Rollout!$I$22:$I$121,Rollout!$B$22:$B$121,D$3)</f>
        <v>2362601.02962785</v>
      </c>
      <c r="E12" s="39">
        <f>SUMIFS(Rollout!$I$22:$I$121,Rollout!$B$22:$B$121,E$3)</f>
        <v>5239887.86851166</v>
      </c>
      <c r="F12" s="39">
        <f>SUMIFS(Rollout!$I$22:$I$121,Rollout!$B$22:$B$121,F$3)</f>
        <v>6308603.0063672</v>
      </c>
      <c r="G12" s="39">
        <f>SUMIFS(Rollout!$I$22:$I$121,Rollout!$B$22:$B$121,G$3)</f>
        <v>7623741.41062636</v>
      </c>
      <c r="H12" s="39">
        <f>SUMIFS(Rollout!$I$22:$I$121,Rollout!$B$22:$B$121,H$3)</f>
        <v>0</v>
      </c>
      <c r="I12" s="39">
        <f>SUMIFS(Rollout!$I$22:$I$121,Rollout!$B$22:$B$121,I$3)</f>
        <v>0</v>
      </c>
      <c r="J12" s="39">
        <f>SUMIFS(Rollout!$I$22:$I$121,Rollout!$B$22:$B$121,J$3)</f>
        <v>0</v>
      </c>
      <c r="K12" s="39">
        <f>SUMIFS(Rollout!$I$22:$I$121,Rollout!$B$22:$B$121,K$3)</f>
        <v>0</v>
      </c>
      <c r="L12" s="39">
        <f>SUMIFS(Rollout!$I$22:$I$121,Rollout!$B$22:$B$121,L$3)</f>
        <v>0</v>
      </c>
      <c r="M12" s="67">
        <f>SUM(C12:L12)</f>
        <v>23729197.4900283</v>
      </c>
    </row>
    <row r="13">
      <c r="B13" s="8" t="inlineStr">
        <is>
          <t>One-time design, first store of each size</t>
        </is>
      </c>
      <c r="C13" s="39">
        <f>((INDEX(FirstYear,1)=C$3)*INDEX(FormatOnce,1)+(INDEX(FirstYear,2)=C$3)*INDEX(FormatOnce,2)+(INDEX(FirstYear,3)=C$3)*INDEX(FormatOnce,3))*(1+BuildInflation)^(C$3-1)</f>
        <v>337000</v>
      </c>
      <c r="D13" s="39">
        <f>((INDEX(FirstYear,1)=D$3)*INDEX(FormatOnce,1)+(INDEX(FirstYear,2)=D$3)*INDEX(FormatOnce,2)+(INDEX(FirstYear,3)=D$3)*INDEX(FormatOnce,3))*(1+BuildInflation)^(D$3-1)</f>
        <v>66950</v>
      </c>
      <c r="E13" s="39">
        <f>((INDEX(FirstYear,1)=E$3)*INDEX(FormatOnce,1)+(INDEX(FirstYear,2)=E$3)*INDEX(FormatOnce,2)+(INDEX(FirstYear,3)=E$3)*INDEX(FormatOnce,3))*(1+BuildInflation)^(E$3-1)</f>
        <v>0</v>
      </c>
      <c r="F13" s="39">
        <f>((INDEX(FirstYear,1)=F$3)*INDEX(FormatOnce,1)+(INDEX(FirstYear,2)=F$3)*INDEX(FormatOnce,2)+(INDEX(FirstYear,3)=F$3)*INDEX(FormatOnce,3))*(1+BuildInflation)^(F$3-1)</f>
        <v>0</v>
      </c>
      <c r="G13" s="39">
        <f>((INDEX(FirstYear,1)=G$3)*INDEX(FormatOnce,1)+(INDEX(FirstYear,2)=G$3)*INDEX(FormatOnce,2)+(INDEX(FirstYear,3)=G$3)*INDEX(FormatOnce,3))*(1+BuildInflation)^(G$3-1)</f>
        <v>0</v>
      </c>
      <c r="H13" s="39">
        <f>((INDEX(FirstYear,1)=H$3)*INDEX(FormatOnce,1)+(INDEX(FirstYear,2)=H$3)*INDEX(FormatOnce,2)+(INDEX(FirstYear,3)=H$3)*INDEX(FormatOnce,3))*(1+BuildInflation)^(H$3-1)</f>
        <v>0</v>
      </c>
      <c r="I13" s="39">
        <f>((INDEX(FirstYear,1)=I$3)*INDEX(FormatOnce,1)+(INDEX(FirstYear,2)=I$3)*INDEX(FormatOnce,2)+(INDEX(FirstYear,3)=I$3)*INDEX(FormatOnce,3))*(1+BuildInflation)^(I$3-1)</f>
        <v>0</v>
      </c>
      <c r="J13" s="39">
        <f>((INDEX(FirstYear,1)=J$3)*INDEX(FormatOnce,1)+(INDEX(FirstYear,2)=J$3)*INDEX(FormatOnce,2)+(INDEX(FirstYear,3)=J$3)*INDEX(FormatOnce,3))*(1+BuildInflation)^(J$3-1)</f>
        <v>0</v>
      </c>
      <c r="K13" s="39">
        <f>((INDEX(FirstYear,1)=K$3)*INDEX(FormatOnce,1)+(INDEX(FirstYear,2)=K$3)*INDEX(FormatOnce,2)+(INDEX(FirstYear,3)=K$3)*INDEX(FormatOnce,3))*(1+BuildInflation)^(K$3-1)</f>
        <v>0</v>
      </c>
      <c r="L13" s="39">
        <f>((INDEX(FirstYear,1)=L$3)*INDEX(FormatOnce,1)+(INDEX(FirstYear,2)=L$3)*INDEX(FormatOnce,2)+(INDEX(FirstYear,3)=L$3)*INDEX(FormatOnce,3))*(1+BuildInflation)^(L$3-1)</f>
        <v>0</v>
      </c>
      <c r="M13" s="67">
        <f>SUM(C13:L13)</f>
        <v>403950</v>
      </c>
    </row>
    <row r="14">
      <c r="B14" s="8" t="inlineStr">
        <is>
          <t>Program setup</t>
        </is>
      </c>
      <c r="C14" s="39">
        <f>IF(AND(C$3=1,PlanStores&gt;0),ProgramOnce,0)</f>
        <v>356000</v>
      </c>
      <c r="D14" s="39">
        <f>IF(AND(D$3=1,PlanStores&gt;0),ProgramOnce,0)</f>
        <v>0</v>
      </c>
      <c r="E14" s="39">
        <f>IF(AND(E$3=1,PlanStores&gt;0),ProgramOnce,0)</f>
        <v>0</v>
      </c>
      <c r="F14" s="39">
        <f>IF(AND(F$3=1,PlanStores&gt;0),ProgramOnce,0)</f>
        <v>0</v>
      </c>
      <c r="G14" s="39">
        <f>IF(AND(G$3=1,PlanStores&gt;0),ProgramOnce,0)</f>
        <v>0</v>
      </c>
      <c r="H14" s="39">
        <f>IF(AND(H$3=1,PlanStores&gt;0),ProgramOnce,0)</f>
        <v>0</v>
      </c>
      <c r="I14" s="39">
        <f>IF(AND(I$3=1,PlanStores&gt;0),ProgramOnce,0)</f>
        <v>0</v>
      </c>
      <c r="J14" s="39">
        <f>IF(AND(J$3=1,PlanStores&gt;0),ProgramOnce,0)</f>
        <v>0</v>
      </c>
      <c r="K14" s="39">
        <f>IF(AND(K$3=1,PlanStores&gt;0),ProgramOnce,0)</f>
        <v>0</v>
      </c>
      <c r="L14" s="39">
        <f>IF(AND(L$3=1,PlanStores&gt;0),ProgramOnce,0)</f>
        <v>0</v>
      </c>
      <c r="M14" s="67">
        <f>SUM(C14:L14)</f>
        <v>356000</v>
      </c>
    </row>
    <row r="15">
      <c r="B15" s="8" t="inlineStr">
        <is>
          <t>Opening stock</t>
        </is>
      </c>
      <c r="C15" s="39">
        <f>SUMIFS(Rollout!$S$22:$S$121,Rollout!$B$22:$B$121,C$3)</f>
        <v>417307.692307692</v>
      </c>
      <c r="D15" s="39">
        <f>SUMIFS(Rollout!$S$22:$S$121,Rollout!$B$22:$B$121,D$3)</f>
        <v>317560.831753846</v>
      </c>
      <c r="E15" s="39">
        <f>SUMIFS(Rollout!$S$22:$S$121,Rollout!$B$22:$B$121,E$3)</f>
        <v>959514.901046154</v>
      </c>
      <c r="F15" s="39">
        <f>SUMIFS(Rollout!$S$22:$S$121,Rollout!$B$22:$B$121,F$3)</f>
        <v>1042044.44356923</v>
      </c>
      <c r="G15" s="39">
        <f>SUMIFS(Rollout!$S$22:$S$121,Rollout!$B$22:$B$121,G$3)</f>
        <v>947531.837538462</v>
      </c>
      <c r="H15" s="39">
        <f>SUMIFS(Rollout!$S$22:$S$121,Rollout!$B$22:$B$121,H$3)</f>
        <v>0</v>
      </c>
      <c r="I15" s="39">
        <f>SUMIFS(Rollout!$S$22:$S$121,Rollout!$B$22:$B$121,I$3)</f>
        <v>0</v>
      </c>
      <c r="J15" s="39">
        <f>SUMIFS(Rollout!$S$22:$S$121,Rollout!$B$22:$B$121,J$3)</f>
        <v>0</v>
      </c>
      <c r="K15" s="39">
        <f>SUMIFS(Rollout!$S$22:$S$121,Rollout!$B$22:$B$121,K$3)</f>
        <v>0</v>
      </c>
      <c r="L15" s="39">
        <f>SUMIFS(Rollout!$S$22:$S$121,Rollout!$B$22:$B$121,L$3)</f>
        <v>0</v>
      </c>
      <c r="M15" s="67">
        <f>SUM(C15:L15)</f>
        <v>3683959.70621539</v>
      </c>
    </row>
    <row r="16">
      <c r="B16" s="34" t="inlineStr">
        <is>
          <t>Total investment</t>
        </is>
      </c>
      <c r="C16" s="67">
        <f>SUM(C12:C15)</f>
        <v>3304671.86720289</v>
      </c>
      <c r="D16" s="67">
        <f>SUM(D12:D15)</f>
        <v>2747111.86138169</v>
      </c>
      <c r="E16" s="67">
        <f>SUM(E12:E15)</f>
        <v>6199402.76955781</v>
      </c>
      <c r="F16" s="67">
        <f>SUM(F12:F15)</f>
        <v>7350647.44993643</v>
      </c>
      <c r="G16" s="67">
        <f>SUM(G12:G15)</f>
        <v>8571273.24816482</v>
      </c>
      <c r="H16" s="67">
        <f>SUM(H12:H15)</f>
        <v>0</v>
      </c>
      <c r="I16" s="67">
        <f>SUM(I12:I15)</f>
        <v>0</v>
      </c>
      <c r="J16" s="67">
        <f>SUM(J12:J15)</f>
        <v>0</v>
      </c>
      <c r="K16" s="67">
        <f>SUM(K12:K15)</f>
        <v>0</v>
      </c>
      <c r="L16" s="67">
        <f>SUM(L12:L15)</f>
        <v>0</v>
      </c>
      <c r="M16" s="67">
        <f>SUM(C16:L16)</f>
        <v>28173107.1962436</v>
      </c>
    </row>
    <row r="17" ht="20" customHeight="1">
      <c r="B17" s="4" t="inlineStr">
        <is>
          <t>Running the program</t>
        </is>
      </c>
      <c r="C17" s="5" t="n"/>
      <c r="D17" s="5" t="n"/>
      <c r="E17" s="5" t="n"/>
      <c r="F17" s="5" t="n"/>
      <c r="G17" s="5" t="n"/>
      <c r="H17" s="5" t="n"/>
      <c r="I17" s="5" t="n"/>
      <c r="J17" s="5" t="n"/>
      <c r="K17" s="5" t="n"/>
      <c r="L17" s="5" t="n"/>
      <c r="M17" s="5" t="n"/>
    </row>
    <row r="18">
      <c r="B18" s="34" t="inlineStr">
        <is>
          <t>Profit from open stores (after their running costs)</t>
        </is>
      </c>
      <c r="C18" s="94">
        <f>SUM(Rollout!U22:U121)</f>
        <v>635082.042993351</v>
      </c>
      <c r="D18" s="94">
        <f>SUM(Rollout!V22:V121)</f>
        <v>2296989.53530976</v>
      </c>
      <c r="E18" s="94">
        <f>SUM(Rollout!W22:W121)</f>
        <v>4961394.91070482</v>
      </c>
      <c r="F18" s="94">
        <f>SUM(Rollout!X22:X121)</f>
        <v>9826510.15768679</v>
      </c>
      <c r="G18" s="94">
        <f>SUM(Rollout!Y22:Y121)</f>
        <v>14764259.3796206</v>
      </c>
      <c r="H18" s="94">
        <f>SUM(Rollout!Z22:Z121)</f>
        <v>18116301.8523868</v>
      </c>
      <c r="I18" s="94">
        <f>SUM(Rollout!AA22:AA121)</f>
        <v>18862415.4936028</v>
      </c>
      <c r="J18" s="94">
        <f>SUM(Rollout!AB22:AB121)</f>
        <v>18862415.4936028</v>
      </c>
      <c r="K18" s="94">
        <f>SUM(Rollout!AC22:AC121)</f>
        <v>18862415.4936028</v>
      </c>
      <c r="L18" s="94">
        <f>SUM(Rollout!AD22:AD121)</f>
        <v>18862415.4936028</v>
      </c>
      <c r="M18" s="94">
        <f>SUM(C18:L18)</f>
        <v>126050199.853113</v>
      </c>
    </row>
    <row r="19">
      <c r="B19" s="8" t="inlineStr">
        <is>
          <t>Central program team</t>
        </is>
      </c>
      <c r="C19" s="39">
        <f>IF(C10&gt;0,CentralTeam,0)</f>
        <v>1000000</v>
      </c>
      <c r="D19" s="39">
        <f>IF(D10&gt;0,CentralTeam,0)</f>
        <v>1000000</v>
      </c>
      <c r="E19" s="39">
        <f>IF(E10&gt;0,CentralTeam,0)</f>
        <v>1000000</v>
      </c>
      <c r="F19" s="39">
        <f>IF(F10&gt;0,CentralTeam,0)</f>
        <v>1000000</v>
      </c>
      <c r="G19" s="39">
        <f>IF(G10&gt;0,CentralTeam,0)</f>
        <v>1000000</v>
      </c>
      <c r="H19" s="39">
        <f>IF(H10&gt;0,CentralTeam,0)</f>
        <v>1000000</v>
      </c>
      <c r="I19" s="39">
        <f>IF(I10&gt;0,CentralTeam,0)</f>
        <v>1000000</v>
      </c>
      <c r="J19" s="39">
        <f>IF(J10&gt;0,CentralTeam,0)</f>
        <v>1000000</v>
      </c>
      <c r="K19" s="39">
        <f>IF(K10&gt;0,CentralTeam,0)</f>
        <v>1000000</v>
      </c>
      <c r="L19" s="39">
        <f>IF(L10&gt;0,CentralTeam,0)</f>
        <v>1000000</v>
      </c>
      <c r="M19" s="67">
        <f>SUM(C19:L19)</f>
        <v>10000000</v>
      </c>
    </row>
    <row r="20">
      <c r="B20" s="8" t="inlineStr">
        <is>
          <t>Platform hosting and support</t>
        </is>
      </c>
      <c r="C20" s="39">
        <f>IF(C10&gt;0,PlatformCost,0)</f>
        <v>60000</v>
      </c>
      <c r="D20" s="39">
        <f>IF(D10&gt;0,PlatformCost,0)</f>
        <v>60000</v>
      </c>
      <c r="E20" s="39">
        <f>IF(E10&gt;0,PlatformCost,0)</f>
        <v>60000</v>
      </c>
      <c r="F20" s="39">
        <f>IF(F10&gt;0,PlatformCost,0)</f>
        <v>60000</v>
      </c>
      <c r="G20" s="39">
        <f>IF(G10&gt;0,PlatformCost,0)</f>
        <v>60000</v>
      </c>
      <c r="H20" s="39">
        <f>IF(H10&gt;0,PlatformCost,0)</f>
        <v>60000</v>
      </c>
      <c r="I20" s="39">
        <f>IF(I10&gt;0,PlatformCost,0)</f>
        <v>60000</v>
      </c>
      <c r="J20" s="39">
        <f>IF(J10&gt;0,PlatformCost,0)</f>
        <v>60000</v>
      </c>
      <c r="K20" s="39">
        <f>IF(K10&gt;0,PlatformCost,0)</f>
        <v>60000</v>
      </c>
      <c r="L20" s="39">
        <f>IF(L10&gt;0,PlatformCost,0)</f>
        <v>60000</v>
      </c>
      <c r="M20" s="67">
        <f>SUM(C20:L20)</f>
        <v>600000</v>
      </c>
    </row>
    <row r="21">
      <c r="B21" s="8" t="inlineStr">
        <is>
          <t>Field technicians (people)</t>
        </is>
      </c>
      <c r="C21" s="46">
        <f>IF(C10&gt;0,CEILING(C10/StoresPerTech,1),0)</f>
        <v>1</v>
      </c>
      <c r="D21" s="46">
        <f>IF(D10&gt;0,CEILING(D10/StoresPerTech,1),0)</f>
        <v>1</v>
      </c>
      <c r="E21" s="46">
        <f>IF(E10&gt;0,CEILING(E10/StoresPerTech,1),0)</f>
        <v>2</v>
      </c>
      <c r="F21" s="46">
        <f>IF(F10&gt;0,CEILING(F10/StoresPerTech,1),0)</f>
        <v>3</v>
      </c>
      <c r="G21" s="46">
        <f>IF(G10&gt;0,CEILING(G10/StoresPerTech,1),0)</f>
        <v>4</v>
      </c>
      <c r="H21" s="46">
        <f>IF(H10&gt;0,CEILING(H10/StoresPerTech,1),0)</f>
        <v>4</v>
      </c>
      <c r="I21" s="46">
        <f>IF(I10&gt;0,CEILING(I10/StoresPerTech,1),0)</f>
        <v>4</v>
      </c>
      <c r="J21" s="46">
        <f>IF(J10&gt;0,CEILING(J10/StoresPerTech,1),0)</f>
        <v>4</v>
      </c>
      <c r="K21" s="46">
        <f>IF(K10&gt;0,CEILING(K10/StoresPerTech,1),0)</f>
        <v>4</v>
      </c>
      <c r="L21" s="46">
        <f>IF(L10&gt;0,CEILING(L10/StoresPerTech,1),0)</f>
        <v>4</v>
      </c>
    </row>
    <row r="22">
      <c r="B22" s="8" t="inlineStr">
        <is>
          <t>Field technicians</t>
        </is>
      </c>
      <c r="C22" s="39">
        <f>C21*TechCost</f>
        <v>88000</v>
      </c>
      <c r="D22" s="39">
        <f>D21*TechCost</f>
        <v>88000</v>
      </c>
      <c r="E22" s="39">
        <f>E21*TechCost</f>
        <v>176000</v>
      </c>
      <c r="F22" s="39">
        <f>F21*TechCost</f>
        <v>264000</v>
      </c>
      <c r="G22" s="39">
        <f>G21*TechCost</f>
        <v>352000</v>
      </c>
      <c r="H22" s="39">
        <f>H21*TechCost</f>
        <v>352000</v>
      </c>
      <c r="I22" s="39">
        <f>I21*TechCost</f>
        <v>352000</v>
      </c>
      <c r="J22" s="39">
        <f>J21*TechCost</f>
        <v>352000</v>
      </c>
      <c r="K22" s="39">
        <f>K21*TechCost</f>
        <v>352000</v>
      </c>
      <c r="L22" s="39">
        <f>L21*TechCost</f>
        <v>352000</v>
      </c>
      <c r="M22" s="67">
        <f>SUM(C22:L22)</f>
        <v>2728000</v>
      </c>
    </row>
    <row r="23">
      <c r="B23" s="8" t="inlineStr">
        <is>
          <t>Area managers (people)</t>
        </is>
      </c>
      <c r="C23" s="46">
        <f>IF(C10&gt;0,CEILING(C10/StoresPerManager,1),0)</f>
        <v>1</v>
      </c>
      <c r="D23" s="46">
        <f>IF(D10&gt;0,CEILING(D10/StoresPerManager,1),0)</f>
        <v>1</v>
      </c>
      <c r="E23" s="46">
        <f>IF(E10&gt;0,CEILING(E10/StoresPerManager,1),0)</f>
        <v>2</v>
      </c>
      <c r="F23" s="46">
        <f>IF(F10&gt;0,CEILING(F10/StoresPerManager,1),0)</f>
        <v>2</v>
      </c>
      <c r="G23" s="46">
        <f>IF(G10&gt;0,CEILING(G10/StoresPerManager,1),0)</f>
        <v>3</v>
      </c>
      <c r="H23" s="46">
        <f>IF(H10&gt;0,CEILING(H10/StoresPerManager,1),0)</f>
        <v>3</v>
      </c>
      <c r="I23" s="46">
        <f>IF(I10&gt;0,CEILING(I10/StoresPerManager,1),0)</f>
        <v>3</v>
      </c>
      <c r="J23" s="46">
        <f>IF(J10&gt;0,CEILING(J10/StoresPerManager,1),0)</f>
        <v>3</v>
      </c>
      <c r="K23" s="46">
        <f>IF(K10&gt;0,CEILING(K10/StoresPerManager,1),0)</f>
        <v>3</v>
      </c>
      <c r="L23" s="46">
        <f>IF(L10&gt;0,CEILING(L10/StoresPerManager,1),0)</f>
        <v>3</v>
      </c>
    </row>
    <row r="24">
      <c r="B24" s="8" t="inlineStr">
        <is>
          <t>Area managers</t>
        </is>
      </c>
      <c r="C24" s="39">
        <f>C23*ManagerCost</f>
        <v>120000</v>
      </c>
      <c r="D24" s="39">
        <f>D23*ManagerCost</f>
        <v>120000</v>
      </c>
      <c r="E24" s="39">
        <f>E23*ManagerCost</f>
        <v>240000</v>
      </c>
      <c r="F24" s="39">
        <f>F23*ManagerCost</f>
        <v>240000</v>
      </c>
      <c r="G24" s="39">
        <f>G23*ManagerCost</f>
        <v>360000</v>
      </c>
      <c r="H24" s="39">
        <f>H23*ManagerCost</f>
        <v>360000</v>
      </c>
      <c r="I24" s="39">
        <f>I23*ManagerCost</f>
        <v>360000</v>
      </c>
      <c r="J24" s="39">
        <f>J23*ManagerCost</f>
        <v>360000</v>
      </c>
      <c r="K24" s="39">
        <f>K23*ManagerCost</f>
        <v>360000</v>
      </c>
      <c r="L24" s="39">
        <f>L23*ManagerCost</f>
        <v>360000</v>
      </c>
      <c r="M24" s="67">
        <f>SUM(C24:L24)</f>
        <v>2880000</v>
      </c>
    </row>
    <row r="25">
      <c r="B25" s="34" t="inlineStr">
        <is>
          <t>Program running costs</t>
        </is>
      </c>
      <c r="C25" s="67">
        <f>C19+C20+C22+C24</f>
        <v>1268000</v>
      </c>
      <c r="D25" s="67">
        <f>D19+D20+D22+D24</f>
        <v>1268000</v>
      </c>
      <c r="E25" s="67">
        <f>E19+E20+E22+E24</f>
        <v>1476000</v>
      </c>
      <c r="F25" s="67">
        <f>F19+F20+F22+F24</f>
        <v>1564000</v>
      </c>
      <c r="G25" s="67">
        <f>G19+G20+G22+G24</f>
        <v>1772000</v>
      </c>
      <c r="H25" s="67">
        <f>H19+H20+H22+H24</f>
        <v>1772000</v>
      </c>
      <c r="I25" s="67">
        <f>I19+I20+I22+I24</f>
        <v>1772000</v>
      </c>
      <c r="J25" s="67">
        <f>J19+J20+J22+J24</f>
        <v>1772000</v>
      </c>
      <c r="K25" s="67">
        <f>K19+K20+K22+K24</f>
        <v>1772000</v>
      </c>
      <c r="L25" s="67">
        <f>L19+L20+L22+L24</f>
        <v>1772000</v>
      </c>
      <c r="M25" s="67">
        <f>SUM(C25:L25)</f>
        <v>16208000</v>
      </c>
    </row>
    <row r="26" ht="20" customHeight="1">
      <c r="B26" s="4" t="inlineStr">
        <is>
          <t>Cash</t>
        </is>
      </c>
      <c r="C26" s="5" t="n"/>
      <c r="D26" s="5" t="n"/>
      <c r="E26" s="5" t="n"/>
      <c r="F26" s="5" t="n"/>
      <c r="G26" s="5" t="n"/>
      <c r="H26" s="5" t="n"/>
      <c r="I26" s="5" t="n"/>
      <c r="J26" s="5" t="n"/>
      <c r="K26" s="5" t="n"/>
      <c r="L26" s="5" t="n"/>
      <c r="M26" s="5" t="n"/>
    </row>
    <row r="27">
      <c r="B27" s="34" t="inlineStr">
        <is>
          <t>Net cash flow</t>
        </is>
      </c>
      <c r="C27" s="94">
        <f>C18-C16-C25</f>
        <v>-3937589.82420954</v>
      </c>
      <c r="D27" s="94">
        <f>D18-D16-D25</f>
        <v>-1718122.32607194</v>
      </c>
      <c r="E27" s="94">
        <f>E18-E16-E25</f>
        <v>-2714007.858853</v>
      </c>
      <c r="F27" s="94">
        <f>F18-F16-F25</f>
        <v>911862.707750361</v>
      </c>
      <c r="G27" s="94">
        <f>G18-G16-G25</f>
        <v>4420986.13145574</v>
      </c>
      <c r="H27" s="94">
        <f>H18-H16-H25</f>
        <v>16344301.8523868</v>
      </c>
      <c r="I27" s="94">
        <f>I18-I16-I25</f>
        <v>17090415.4936028</v>
      </c>
      <c r="J27" s="94">
        <f>J18-J16-J25</f>
        <v>17090415.4936028</v>
      </c>
      <c r="K27" s="94">
        <f>K18-K16-K25</f>
        <v>17090415.4936028</v>
      </c>
      <c r="L27" s="94">
        <f>L18-L16-L25</f>
        <v>17090415.4936028</v>
      </c>
      <c r="M27" s="94">
        <f>SUM(C27:L27)</f>
        <v>81669092.6568695</v>
      </c>
    </row>
    <row r="28">
      <c r="B28" s="34" t="inlineStr">
        <is>
          <t>Cumulative cash</t>
        </is>
      </c>
      <c r="C28" s="94">
        <f>SUM($C$27:C27)</f>
        <v>-3937589.82420954</v>
      </c>
      <c r="D28" s="94">
        <f>SUM($C$27:D27)</f>
        <v>-5655712.15028147</v>
      </c>
      <c r="E28" s="94">
        <f>SUM($C$27:E27)</f>
        <v>-8369720.00913447</v>
      </c>
      <c r="F28" s="94">
        <f>SUM($C$27:F27)</f>
        <v>-7457857.30138411</v>
      </c>
      <c r="G28" s="94">
        <f>SUM($C$27:G27)</f>
        <v>-3036871.16992837</v>
      </c>
      <c r="H28" s="94">
        <f>SUM($C$27:H27)</f>
        <v>13307430.6824584</v>
      </c>
      <c r="I28" s="94">
        <f>SUM($C$27:I27)</f>
        <v>30397846.1760612</v>
      </c>
      <c r="J28" s="94">
        <f>SUM($C$27:J27)</f>
        <v>47488261.6696639</v>
      </c>
      <c r="K28" s="94">
        <f>SUM($C$27:K27)</f>
        <v>64578677.1632667</v>
      </c>
      <c r="L28" s="94">
        <f>SUM($C$27:L27)</f>
        <v>81669092.6568695</v>
      </c>
    </row>
    <row r="29">
      <c r="B29" s="68" t="inlineStr">
        <is>
          <t>First year cumulative cash is back above zero (99 = not yet)</t>
        </is>
      </c>
      <c r="C29" s="114">
        <f>IF(C28&gt;=0,C$3,99)</f>
        <v>99</v>
      </c>
      <c r="D29" s="114">
        <f>IF(D28&gt;=0,D$3,99)</f>
        <v>99</v>
      </c>
      <c r="E29" s="114">
        <f>IF(E28&gt;=0,E$3,99)</f>
        <v>99</v>
      </c>
      <c r="F29" s="114">
        <f>IF(F28&gt;=0,F$3,99)</f>
        <v>99</v>
      </c>
      <c r="G29" s="114">
        <f>IF(G28&gt;=0,G$3,99)</f>
        <v>99</v>
      </c>
      <c r="H29" s="114">
        <f>IF(H28&gt;=0,H$3,99)</f>
        <v>6</v>
      </c>
      <c r="I29" s="114">
        <f>IF(I28&gt;=0,I$3,99)</f>
        <v>7</v>
      </c>
      <c r="J29" s="114">
        <f>IF(J28&gt;=0,J$3,99)</f>
        <v>8</v>
      </c>
      <c r="K29" s="114">
        <f>IF(K28&gt;=0,K$3,99)</f>
        <v>9</v>
      </c>
      <c r="L29" s="114">
        <f>IF(L28&gt;=0,L$3,99)</f>
        <v>10</v>
      </c>
    </row>
    <row r="31" ht="20" customHeight="1">
      <c r="B31" s="4" t="inlineStr">
        <is>
          <t>Headline</t>
        </is>
      </c>
      <c r="C31" s="5" t="n"/>
      <c r="D31" s="5" t="n"/>
      <c r="E31" s="5" t="n"/>
      <c r="F31" s="5" t="n"/>
      <c r="G31" s="5" t="n"/>
      <c r="H31" s="5" t="n"/>
      <c r="I31" s="5" t="n"/>
      <c r="J31" s="5" t="n"/>
      <c r="K31" s="5" t="n"/>
      <c r="L31" s="5" t="n"/>
      <c r="M31" s="5" t="n"/>
    </row>
    <row r="32">
      <c r="B32" s="34" t="inlineStr">
        <is>
          <t>Total investment</t>
        </is>
      </c>
      <c r="C32" s="67">
        <f>M16</f>
        <v>28173107.1962436</v>
      </c>
    </row>
    <row r="33">
      <c r="B33" s="34" t="inlineStr">
        <is>
          <t>Peak cash needed</t>
        </is>
      </c>
      <c r="C33" s="67">
        <f>-MIN(0,MIN(C28:L28))</f>
        <v>8369720.00913447</v>
      </c>
    </row>
    <row r="34">
      <c r="B34" s="34" t="inlineStr">
        <is>
          <t>Pays back in</t>
        </is>
      </c>
      <c r="C34" s="115" t="str">
        <f>IF(PlanStores=0,"No stores planned",IF(MIN(C29:L29)=99,"Not within 10 years","Year "&amp;MIN(C29:L29)))</f>
        <v>Year 6</v>
      </c>
    </row>
    <row r="35">
      <c r="B35" s="34" t="inlineStr">
        <is>
          <t>NPV of the 10 years at your discount rate</t>
        </is>
      </c>
      <c r="C35" s="94">
        <f>NPV(DiscountRate,C27:L27)</f>
        <v>36135184.0917513</v>
      </c>
    </row>
    <row r="36">
      <c r="B36" s="34" t="inlineStr">
        <is>
          <t>Cash after 10 years</t>
        </is>
      </c>
      <c r="C36" s="94">
        <f>L28</f>
        <v>81669092.6568695</v>
      </c>
    </row>
    <row r="37">
      <c r="B37" s="34" t="inlineStr">
        <is>
          <t>Stores that repay their build within the payback period</t>
        </is>
      </c>
      <c r="C37" s="115" t="str">
        <f>IF(PlanStores=0,"-",COUNTIFS(Rollout!$R$22:$R$121,"&lt;="&amp;PaybackYears)&amp;" of "&amp;PlanStores)</f>
        <v>24 of 30</v>
      </c>
    </row>
    <row r="38">
      <c r="B38" s="34" t="inlineStr">
        <is>
          <t>Stores that repay their build within 5 years</t>
        </is>
      </c>
      <c r="C38" s="47">
        <f>COUNTIFS(Rollout!$R$22:$R$121,"&lt;=5")</f>
        <v>25</v>
      </c>
    </row>
    <row r="39">
      <c r="B39" s="34" t="inlineStr">
        <is>
          <t>Store profit in year 10</t>
        </is>
      </c>
      <c r="C39" s="94">
        <f>L18</f>
        <v>18862415.4936028</v>
      </c>
    </row>
    <row r="40">
      <c r="B40" s="68" t="inlineStr">
        <is>
          <t>First year the cumulative cash is back above zero (99 = not in 10 years)</t>
        </is>
      </c>
      <c r="C40" s="116">
        <f>MIN(C29:L29)</f>
        <v>6</v>
      </c>
    </row>
    <row r="41" ht="20" customHeight="1">
      <c r="B41" s="4" t="inlineStr">
        <is>
          <t>Program running costs and software licences</t>
        </is>
      </c>
      <c r="C41" s="5" t="n"/>
      <c r="D41" s="5" t="n"/>
      <c r="E41" s="5" t="n"/>
      <c r="F41" s="5" t="n"/>
      <c r="G41" s="5" t="n"/>
      <c r="H41" s="5" t="n"/>
      <c r="I41" s="5" t="n"/>
      <c r="J41" s="5" t="n"/>
      <c r="K41" s="5" t="n"/>
      <c r="L41" s="5" t="n"/>
      <c r="M41" s="5" t="n"/>
    </row>
    <row r="42">
      <c r="B42" s="8" t="inlineStr">
        <is>
          <t>Central program team per year</t>
        </is>
      </c>
      <c r="C42" s="54" t="n">
        <v>1000000</v>
      </c>
      <c r="D42" s="38" t="inlineStr">
        <is>
          <t>Design, construction, content and analytics leads for the whole program.</t>
        </is>
      </c>
    </row>
    <row r="43">
      <c r="B43" s="8" t="inlineStr">
        <is>
          <t>Platform hosting and support per year</t>
        </is>
      </c>
      <c r="C43" s="54" t="n">
        <v>60000</v>
      </c>
    </row>
    <row r="44">
      <c r="B44" s="8" t="inlineStr">
        <is>
          <t>Stores per field technician</t>
        </is>
      </c>
      <c r="C44" s="36" t="n">
        <v>8</v>
      </c>
      <c r="D44" s="38" t="inlineStr">
        <is>
          <t>Technicians keep the screens, sensors and players running.</t>
        </is>
      </c>
    </row>
    <row r="45">
      <c r="B45" s="8" t="inlineStr">
        <is>
          <t>Field technician, cost per year</t>
        </is>
      </c>
      <c r="C45" s="54" t="n">
        <v>88000</v>
      </c>
    </row>
    <row r="46">
      <c r="B46" s="8" t="inlineStr">
        <is>
          <t>Stores per area manager</t>
        </is>
      </c>
      <c r="C46" s="36" t="n">
        <v>10</v>
      </c>
    </row>
    <row r="47">
      <c r="B47" s="8" t="inlineStr">
        <is>
          <t>Area manager, cost per year</t>
        </is>
      </c>
      <c r="C47" s="54" t="n">
        <v>120000</v>
      </c>
    </row>
    <row r="49" ht="18" customHeight="1">
      <c r="B49" s="10" t="inlineStr">
        <is>
          <t>Software licence per store</t>
        </is>
      </c>
      <c r="C49" s="11" t="inlineStr">
        <is>
          <t>Year 1</t>
        </is>
      </c>
      <c r="D49" s="11" t="inlineStr">
        <is>
          <t>Year 2</t>
        </is>
      </c>
      <c r="E49" s="11" t="inlineStr">
        <is>
          <t>Year 3</t>
        </is>
      </c>
      <c r="F49" s="11" t="inlineStr">
        <is>
          <t>Year 4</t>
        </is>
      </c>
      <c r="G49" s="11" t="inlineStr">
        <is>
          <t>Year 5</t>
        </is>
      </c>
      <c r="H49" s="11" t="inlineStr">
        <is>
          <t>Year 6</t>
        </is>
      </c>
      <c r="I49" s="11" t="inlineStr">
        <is>
          <t>Year 7</t>
        </is>
      </c>
      <c r="J49" s="11" t="inlineStr">
        <is>
          <t>Year 8</t>
        </is>
      </c>
      <c r="K49" s="11" t="inlineStr">
        <is>
          <t>Year 9</t>
        </is>
      </c>
      <c r="L49" s="11" t="inlineStr">
        <is>
          <t>Year 10</t>
        </is>
      </c>
      <c r="M49" s="11" t="inlineStr"/>
    </row>
    <row r="50">
      <c r="B50" s="117" t="inlineStr">
        <is>
          <t>Flagship (SPLUS)</t>
        </is>
      </c>
      <c r="C50" s="39">
        <f>IF(C$10=0,0,IF(C$10&gt;=LicFrom4,LicPrice4,IF(C$10&gt;=LicFrom3,LicPrice3,IF(C$10&gt;=LicFrom2,LicPrice2,LicPrice1)))*INDEX(LicFactor,1)*(1-LicDisc))</f>
        <v>21600</v>
      </c>
      <c r="D50" s="39">
        <f>IF(D$10=0,0,IF(D$10&gt;=LicFrom4,LicPrice4,IF(D$10&gt;=LicFrom3,LicPrice3,IF(D$10&gt;=LicFrom2,LicPrice2,LicPrice1)))*INDEX(LicFactor,1)*(1-LicDisc))</f>
        <v>16875</v>
      </c>
      <c r="E50" s="39">
        <f>IF(E$10=0,0,IF(E$10&gt;=LicFrom4,LicPrice4,IF(E$10&gt;=LicFrom3,LicPrice3,IF(E$10&gt;=LicFrom2,LicPrice2,LicPrice1)))*INDEX(LicFactor,1)*(1-LicDisc))</f>
        <v>16875</v>
      </c>
      <c r="F50" s="39">
        <f>IF(F$10=0,0,IF(F$10&gt;=LicFrom4,LicPrice4,IF(F$10&gt;=LicFrom3,LicPrice3,IF(F$10&gt;=LicFrom2,LicPrice2,LicPrice1)))*INDEX(LicFactor,1)*(1-LicDisc))</f>
        <v>12825</v>
      </c>
      <c r="G50" s="39">
        <f>IF(G$10=0,0,IF(G$10&gt;=LicFrom4,LicPrice4,IF(G$10&gt;=LicFrom3,LicPrice3,IF(G$10&gt;=LicFrom2,LicPrice2,LicPrice1)))*INDEX(LicFactor,1)*(1-LicDisc))</f>
        <v>12825</v>
      </c>
      <c r="H50" s="39">
        <f>IF(H$10=0,0,IF(H$10&gt;=LicFrom4,LicPrice4,IF(H$10&gt;=LicFrom3,LicPrice3,IF(H$10&gt;=LicFrom2,LicPrice2,LicPrice1)))*INDEX(LicFactor,1)*(1-LicDisc))</f>
        <v>12825</v>
      </c>
      <c r="I50" s="39">
        <f>IF(I$10=0,0,IF(I$10&gt;=LicFrom4,LicPrice4,IF(I$10&gt;=LicFrom3,LicPrice3,IF(I$10&gt;=LicFrom2,LicPrice2,LicPrice1)))*INDEX(LicFactor,1)*(1-LicDisc))</f>
        <v>12825</v>
      </c>
      <c r="J50" s="39">
        <f>IF(J$10=0,0,IF(J$10&gt;=LicFrom4,LicPrice4,IF(J$10&gt;=LicFrom3,LicPrice3,IF(J$10&gt;=LicFrom2,LicPrice2,LicPrice1)))*INDEX(LicFactor,1)*(1-LicDisc))</f>
        <v>12825</v>
      </c>
      <c r="K50" s="39">
        <f>IF(K$10=0,0,IF(K$10&gt;=LicFrom4,LicPrice4,IF(K$10&gt;=LicFrom3,LicPrice3,IF(K$10&gt;=LicFrom2,LicPrice2,LicPrice1)))*INDEX(LicFactor,1)*(1-LicDisc))</f>
        <v>12825</v>
      </c>
      <c r="L50" s="39">
        <f>IF(L$10=0,0,IF(L$10&gt;=LicFrom4,LicPrice4,IF(L$10&gt;=LicFrom3,LicPrice3,IF(L$10&gt;=LicFrom2,LicPrice2,LicPrice1)))*INDEX(LicFactor,1)*(1-LicDisc))</f>
        <v>12825</v>
      </c>
    </row>
    <row r="51">
      <c r="B51" s="118" t="inlineStr">
        <is>
          <t>Standard (S)</t>
        </is>
      </c>
      <c r="C51" s="39">
        <f>IF(C$10=0,0,IF(C$10&gt;=LicFrom4,LicPrice4,IF(C$10&gt;=LicFrom3,LicPrice3,IF(C$10&gt;=LicFrom2,LicPrice2,LicPrice1)))*INDEX(LicFactor,2)*(1-LicDisc))</f>
        <v>14400</v>
      </c>
      <c r="D51" s="39">
        <f>IF(D$10=0,0,IF(D$10&gt;=LicFrom4,LicPrice4,IF(D$10&gt;=LicFrom3,LicPrice3,IF(D$10&gt;=LicFrom2,LicPrice2,LicPrice1)))*INDEX(LicFactor,2)*(1-LicDisc))</f>
        <v>11250</v>
      </c>
      <c r="E51" s="39">
        <f>IF(E$10=0,0,IF(E$10&gt;=LicFrom4,LicPrice4,IF(E$10&gt;=LicFrom3,LicPrice3,IF(E$10&gt;=LicFrom2,LicPrice2,LicPrice1)))*INDEX(LicFactor,2)*(1-LicDisc))</f>
        <v>11250</v>
      </c>
      <c r="F51" s="39">
        <f>IF(F$10=0,0,IF(F$10&gt;=LicFrom4,LicPrice4,IF(F$10&gt;=LicFrom3,LicPrice3,IF(F$10&gt;=LicFrom2,LicPrice2,LicPrice1)))*INDEX(LicFactor,2)*(1-LicDisc))</f>
        <v>8550</v>
      </c>
      <c r="G51" s="39">
        <f>IF(G$10=0,0,IF(G$10&gt;=LicFrom4,LicPrice4,IF(G$10&gt;=LicFrom3,LicPrice3,IF(G$10&gt;=LicFrom2,LicPrice2,LicPrice1)))*INDEX(LicFactor,2)*(1-LicDisc))</f>
        <v>8550</v>
      </c>
      <c r="H51" s="39">
        <f>IF(H$10=0,0,IF(H$10&gt;=LicFrom4,LicPrice4,IF(H$10&gt;=LicFrom3,LicPrice3,IF(H$10&gt;=LicFrom2,LicPrice2,LicPrice1)))*INDEX(LicFactor,2)*(1-LicDisc))</f>
        <v>8550</v>
      </c>
      <c r="I51" s="39">
        <f>IF(I$10=0,0,IF(I$10&gt;=LicFrom4,LicPrice4,IF(I$10&gt;=LicFrom3,LicPrice3,IF(I$10&gt;=LicFrom2,LicPrice2,LicPrice1)))*INDEX(LicFactor,2)*(1-LicDisc))</f>
        <v>8550</v>
      </c>
      <c r="J51" s="39">
        <f>IF(J$10=0,0,IF(J$10&gt;=LicFrom4,LicPrice4,IF(J$10&gt;=LicFrom3,LicPrice3,IF(J$10&gt;=LicFrom2,LicPrice2,LicPrice1)))*INDEX(LicFactor,2)*(1-LicDisc))</f>
        <v>8550</v>
      </c>
      <c r="K51" s="39">
        <f>IF(K$10=0,0,IF(K$10&gt;=LicFrom4,LicPrice4,IF(K$10&gt;=LicFrom3,LicPrice3,IF(K$10&gt;=LicFrom2,LicPrice2,LicPrice1)))*INDEX(LicFactor,2)*(1-LicDisc))</f>
        <v>8550</v>
      </c>
      <c r="L51" s="39">
        <f>IF(L$10=0,0,IF(L$10&gt;=LicFrom4,LicPrice4,IF(L$10&gt;=LicFrom3,LicPrice3,IF(L$10&gt;=LicFrom2,LicPrice2,LicPrice1)))*INDEX(LicFactor,2)*(1-LicDisc))</f>
        <v>8550</v>
      </c>
    </row>
    <row r="52">
      <c r="B52" s="119" t="inlineStr">
        <is>
          <t>Small (D)</t>
        </is>
      </c>
      <c r="C52" s="39">
        <f>IF(C$10=0,0,IF(C$10&gt;=LicFrom4,LicPrice4,IF(C$10&gt;=LicFrom3,LicPrice3,IF(C$10&gt;=LicFrom2,LicPrice2,LicPrice1)))*INDEX(LicFactor,3)*(1-LicDisc))</f>
        <v>8640</v>
      </c>
      <c r="D52" s="39">
        <f>IF(D$10=0,0,IF(D$10&gt;=LicFrom4,LicPrice4,IF(D$10&gt;=LicFrom3,LicPrice3,IF(D$10&gt;=LicFrom2,LicPrice2,LicPrice1)))*INDEX(LicFactor,3)*(1-LicDisc))</f>
        <v>6750</v>
      </c>
      <c r="E52" s="39">
        <f>IF(E$10=0,0,IF(E$10&gt;=LicFrom4,LicPrice4,IF(E$10&gt;=LicFrom3,LicPrice3,IF(E$10&gt;=LicFrom2,LicPrice2,LicPrice1)))*INDEX(LicFactor,3)*(1-LicDisc))</f>
        <v>6750</v>
      </c>
      <c r="F52" s="39">
        <f>IF(F$10=0,0,IF(F$10&gt;=LicFrom4,LicPrice4,IF(F$10&gt;=LicFrom3,LicPrice3,IF(F$10&gt;=LicFrom2,LicPrice2,LicPrice1)))*INDEX(LicFactor,3)*(1-LicDisc))</f>
        <v>5130</v>
      </c>
      <c r="G52" s="39">
        <f>IF(G$10=0,0,IF(G$10&gt;=LicFrom4,LicPrice4,IF(G$10&gt;=LicFrom3,LicPrice3,IF(G$10&gt;=LicFrom2,LicPrice2,LicPrice1)))*INDEX(LicFactor,3)*(1-LicDisc))</f>
        <v>5130</v>
      </c>
      <c r="H52" s="39">
        <f>IF(H$10=0,0,IF(H$10&gt;=LicFrom4,LicPrice4,IF(H$10&gt;=LicFrom3,LicPrice3,IF(H$10&gt;=LicFrom2,LicPrice2,LicPrice1)))*INDEX(LicFactor,3)*(1-LicDisc))</f>
        <v>5130</v>
      </c>
      <c r="I52" s="39">
        <f>IF(I$10=0,0,IF(I$10&gt;=LicFrom4,LicPrice4,IF(I$10&gt;=LicFrom3,LicPrice3,IF(I$10&gt;=LicFrom2,LicPrice2,LicPrice1)))*INDEX(LicFactor,3)*(1-LicDisc))</f>
        <v>5130</v>
      </c>
      <c r="J52" s="39">
        <f>IF(J$10=0,0,IF(J$10&gt;=LicFrom4,LicPrice4,IF(J$10&gt;=LicFrom3,LicPrice3,IF(J$10&gt;=LicFrom2,LicPrice2,LicPrice1)))*INDEX(LicFactor,3)*(1-LicDisc))</f>
        <v>5130</v>
      </c>
      <c r="K52" s="39">
        <f>IF(K$10=0,0,IF(K$10&gt;=LicFrom4,LicPrice4,IF(K$10&gt;=LicFrom3,LicPrice3,IF(K$10&gt;=LicFrom2,LicPrice2,LicPrice1)))*INDEX(LicFactor,3)*(1-LicDisc))</f>
        <v>5130</v>
      </c>
      <c r="L52" s="39">
        <f>IF(L$10=0,0,IF(L$10&gt;=LicFrom4,LicPrice4,IF(L$10&gt;=LicFrom3,LicPrice3,IF(L$10&gt;=LicFrom2,LicPrice2,LicPrice1)))*INDEX(LicFactor,3)*(1-LicDisc))</f>
        <v>5130</v>
      </c>
    </row>
  </sheetData>
  <pageMargins left="0.75" right="0.75" top="1" bottom="1" header="0.5" footer="0.5"/>
  <pageSetup orientation="landscape" fitToHeight="0" fitToWidth="1"/>
  <drawing xmlns:r="http://schemas.openxmlformats.org/officeDocument/2006/relationships" r:id="rId1"/>
</worksheet>
</file>

<file path=xl/worksheets/sheet9.xml><?xml version="1.0" encoding="utf-8"?>
<worksheet xmlns="http://schemas.openxmlformats.org/spreadsheetml/2006/main">
  <sheetPr>
    <tabColor rgb="006B625C"/>
    <outlinePr summaryBelow="1" summaryRight="1"/>
    <pageSetUpPr fitToPage="1"/>
  </sheetPr>
  <dimension ref="B1:N71"/>
  <sheetViews>
    <sheetView showGridLines="0" zoomScale="100" workbookViewId="0">
      <selection activeCell="A1" sqref="A1"/>
    </sheetView>
  </sheetViews>
  <sheetFormatPr baseColWidth="8" defaultRowHeight="15"/>
  <cols>
    <col width="2" customWidth="1" min="1" max="1"/>
    <col width="40"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28" customWidth="1" min="14" max="14"/>
    <col width="3" customWidth="1" min="15" max="15"/>
  </cols>
  <sheetData>
    <row r="1" ht="30" customHeight="1">
      <c r="B1" s="32" t="inlineStr">
        <is>
          <t>Compare · recipes and scale outlooks side by side</t>
        </is>
      </c>
    </row>
    <row r="2">
      <c r="B2" s="33" t="inlineStr">
        <is>
          <t>Your Switchboard calls (Your call, Your $, bucket switches) apply to every recipe here, so you see the effect of the recipe alone.</t>
        </is>
      </c>
    </row>
    <row r="4" ht="20" customHeight="1">
      <c r="B4" s="4" t="inlineStr">
        <is>
          <t>Store build, first store, by recipe</t>
        </is>
      </c>
      <c r="C4" s="5" t="n"/>
      <c r="D4" s="5" t="n"/>
      <c r="E4" s="5" t="n"/>
      <c r="F4" s="5" t="n"/>
      <c r="G4" s="5" t="n"/>
      <c r="H4" s="5" t="n"/>
      <c r="I4" s="5" t="n"/>
    </row>
    <row r="5" ht="18" customHeight="1">
      <c r="B5" s="10" t="inlineStr">
        <is>
          <t>Recipe</t>
        </is>
      </c>
      <c r="C5" s="28" t="inlineStr">
        <is>
          <t>SPLUS</t>
        </is>
      </c>
      <c r="D5" s="29" t="inlineStr">
        <is>
          <t>S</t>
        </is>
      </c>
      <c r="E5" s="30" t="inlineStr">
        <is>
          <t>D</t>
        </is>
      </c>
      <c r="F5" s="28" t="inlineStr">
        <is>
          <t>SPLUS per area</t>
        </is>
      </c>
      <c r="G5" s="29" t="inlineStr">
        <is>
          <t>S per area</t>
        </is>
      </c>
      <c r="H5" s="30" t="inlineStr">
        <is>
          <t>D per area</t>
        </is>
      </c>
      <c r="I5" s="11" t="inlineStr">
        <is>
          <t>Flagship vs Lean</t>
        </is>
      </c>
    </row>
    <row r="6">
      <c r="B6" s="34" t="inlineStr">
        <is>
          <t>Lean</t>
        </is>
      </c>
      <c r="C6" s="37">
        <f>Switchboard!Z46</f>
        <v>1182650</v>
      </c>
      <c r="D6" s="37">
        <f>Switchboard!AA46</f>
        <v>609095</v>
      </c>
      <c r="E6" s="37">
        <f>Switchboard!AB46</f>
        <v>373945</v>
      </c>
      <c r="F6" s="39">
        <f>C6/Area_SPLUS*AreaFactor</f>
        <v>347.838235294118</v>
      </c>
      <c r="G6" s="39">
        <f>D6/Area_S*AreaFactor</f>
        <v>369.148484848485</v>
      </c>
      <c r="H6" s="39">
        <f>E6/Area_D*AreaFactor</f>
        <v>415.494444444444</v>
      </c>
      <c r="I6" s="41">
        <f>IFERROR(C6/$C$6-1,0)</f>
        <v>0</v>
      </c>
    </row>
    <row r="7">
      <c r="B7" s="34" t="inlineStr">
        <is>
          <t>Balanced</t>
        </is>
      </c>
      <c r="C7" s="37">
        <f>Switchboard!AC46</f>
        <v>1416330</v>
      </c>
      <c r="D7" s="37">
        <f>Switchboard!AD46</f>
        <v>799625</v>
      </c>
      <c r="E7" s="37">
        <f>Switchboard!AE46</f>
        <v>453040</v>
      </c>
      <c r="F7" s="39">
        <f>C7/Area_SPLUS*AreaFactor</f>
        <v>416.567647058824</v>
      </c>
      <c r="G7" s="39">
        <f>D7/Area_S*AreaFactor</f>
        <v>484.621212121212</v>
      </c>
      <c r="H7" s="39">
        <f>E7/Area_D*AreaFactor</f>
        <v>503.377777777778</v>
      </c>
      <c r="I7" s="41">
        <f>IFERROR(C7/$C$6-1,0)</f>
        <v>0.197590157696698</v>
      </c>
    </row>
    <row r="8">
      <c r="B8" s="34" t="inlineStr">
        <is>
          <t>Showcase</t>
        </is>
      </c>
      <c r="C8" s="37">
        <f>Switchboard!AF46</f>
        <v>1774210</v>
      </c>
      <c r="D8" s="37">
        <f>Switchboard!AG46</f>
        <v>977185</v>
      </c>
      <c r="E8" s="37">
        <f>Switchboard!AH46</f>
        <v>521465</v>
      </c>
      <c r="F8" s="39">
        <f>C8/Area_SPLUS*AreaFactor</f>
        <v>521.826470588235</v>
      </c>
      <c r="G8" s="39">
        <f>D8/Area_S*AreaFactor</f>
        <v>592.233333333333</v>
      </c>
      <c r="H8" s="39">
        <f>E8/Area_D*AreaFactor</f>
        <v>579.405555555556</v>
      </c>
      <c r="I8" s="41">
        <f>IFERROR(C8/$C$6-1,0)</f>
        <v>0.500198706295185</v>
      </c>
    </row>
    <row r="9">
      <c r="B9" s="120" t="inlineStr">
        <is>
          <t>In use now</t>
        </is>
      </c>
      <c r="C9" s="37">
        <f>Pilot_SPLUS</f>
        <v>1416330</v>
      </c>
      <c r="D9" s="37">
        <f>Pilot_S</f>
        <v>799625</v>
      </c>
      <c r="E9" s="37">
        <f>Pilot_D</f>
        <v>453040</v>
      </c>
      <c r="F9" s="39">
        <f>C9/Area_SPLUS*AreaFactor</f>
        <v>416.567647058824</v>
      </c>
      <c r="G9" s="39">
        <f>D9/Area_S*AreaFactor</f>
        <v>484.621212121212</v>
      </c>
      <c r="H9" s="39">
        <f>E9/Area_D*AreaFactor</f>
        <v>503.377777777778</v>
      </c>
    </row>
    <row r="11" ht="20" customHeight="1">
      <c r="B11" s="4" t="inlineStr">
        <is>
          <t>Melbourne streets that pay back on the dashboard test, by recipe (first-store build)</t>
        </is>
      </c>
      <c r="C11" s="5" t="n"/>
      <c r="D11" s="5" t="n"/>
      <c r="E11" s="5" t="n"/>
      <c r="F11" s="5" t="n"/>
      <c r="G11" s="5" t="n"/>
      <c r="H11" s="5" t="n"/>
      <c r="I11" s="5" t="n"/>
    </row>
    <row r="12" ht="18" customHeight="1">
      <c r="B12" s="10" t="inlineStr">
        <is>
          <t>Recipe</t>
        </is>
      </c>
      <c r="C12" s="28" t="inlineStr">
        <is>
          <t>SPLUS</t>
        </is>
      </c>
      <c r="D12" s="29" t="inlineStr">
        <is>
          <t>S</t>
        </is>
      </c>
      <c r="E12" s="30" t="inlineStr">
        <is>
          <t>D</t>
        </is>
      </c>
      <c r="F12" s="11" t="inlineStr">
        <is>
          <t>Total</t>
        </is>
      </c>
      <c r="G12" s="11" t="inlineStr">
        <is>
          <t>Mix: SPLUS</t>
        </is>
      </c>
      <c r="H12" s="11" t="inlineStr">
        <is>
          <t>Mix: S</t>
        </is>
      </c>
      <c r="I12" s="11" t="inlineStr">
        <is>
          <t>Mix: D</t>
        </is>
      </c>
    </row>
    <row r="13">
      <c r="B13" s="34" t="inlineStr">
        <is>
          <t>Lean</t>
        </is>
      </c>
      <c r="C13" s="46">
        <f>COUNTIFS(Melbourne!$G$58:$G$135,"SPLUS",Melbourne!$E$58:$E$135,"&gt;="&amp;C6/(PaybackYears*Ticket*Conversion*DashMargin*Capture))</f>
        <v>14</v>
      </c>
      <c r="D13" s="46">
        <f>COUNTIFS(Melbourne!$G$58:$G$135,"S",Melbourne!$E$58:$E$135,"&gt;="&amp;D6/(PaybackYears*Ticket*Conversion*DashMargin*Capture))</f>
        <v>33</v>
      </c>
      <c r="E13" s="46">
        <f>COUNTIFS(Melbourne!$G$58:$G$135,"D",Melbourne!$E$58:$E$135,"&gt;="&amp;E6/(PaybackYears*Ticket*Conversion*DashMargin*Capture))</f>
        <v>19</v>
      </c>
      <c r="F13" s="47">
        <f>SUM(C13:E13)</f>
        <v>66</v>
      </c>
      <c r="G13" s="45">
        <f>IFERROR(C13/$F13,0)</f>
        <v>0.212121212121212</v>
      </c>
      <c r="H13" s="45">
        <f>IFERROR(D13/$F13,0)</f>
        <v>0.5</v>
      </c>
      <c r="I13" s="45">
        <f>IFERROR(E13/$F13,0)</f>
        <v>0.287878787878788</v>
      </c>
    </row>
    <row r="14">
      <c r="B14" s="34" t="inlineStr">
        <is>
          <t>Balanced</t>
        </is>
      </c>
      <c r="C14" s="46">
        <f>COUNTIFS(Melbourne!$G$58:$G$135,"SPLUS",Melbourne!$E$58:$E$135,"&gt;="&amp;C7/(PaybackYears*Ticket*Conversion*DashMargin*Capture))</f>
        <v>14</v>
      </c>
      <c r="D14" s="46">
        <f>COUNTIFS(Melbourne!$G$58:$G$135,"S",Melbourne!$E$58:$E$135,"&gt;="&amp;D7/(PaybackYears*Ticket*Conversion*DashMargin*Capture))</f>
        <v>29</v>
      </c>
      <c r="E14" s="46">
        <f>COUNTIFS(Melbourne!$G$58:$G$135,"D",Melbourne!$E$58:$E$135,"&gt;="&amp;E7/(PaybackYears*Ticket*Conversion*DashMargin*Capture))</f>
        <v>16</v>
      </c>
      <c r="F14" s="47">
        <f>SUM(C14:E14)</f>
        <v>59</v>
      </c>
      <c r="G14" s="45">
        <f>IFERROR(C14/$F14,0)</f>
        <v>0.23728813559322</v>
      </c>
      <c r="H14" s="45">
        <f>IFERROR(D14/$F14,0)</f>
        <v>0.491525423728814</v>
      </c>
      <c r="I14" s="45">
        <f>IFERROR(E14/$F14,0)</f>
        <v>0.271186440677966</v>
      </c>
    </row>
    <row r="15">
      <c r="B15" s="34" t="inlineStr">
        <is>
          <t>Showcase</t>
        </is>
      </c>
      <c r="C15" s="46">
        <f>COUNTIFS(Melbourne!$G$58:$G$135,"SPLUS",Melbourne!$E$58:$E$135,"&gt;="&amp;C8/(PaybackYears*Ticket*Conversion*DashMargin*Capture))</f>
        <v>10</v>
      </c>
      <c r="D15" s="46">
        <f>COUNTIFS(Melbourne!$G$58:$G$135,"S",Melbourne!$E$58:$E$135,"&gt;="&amp;D8/(PaybackYears*Ticket*Conversion*DashMargin*Capture))</f>
        <v>26</v>
      </c>
      <c r="E15" s="46">
        <f>COUNTIFS(Melbourne!$G$58:$G$135,"D",Melbourne!$E$58:$E$135,"&gt;="&amp;E8/(PaybackYears*Ticket*Conversion*DashMargin*Capture))</f>
        <v>11</v>
      </c>
      <c r="F15" s="47">
        <f>SUM(C15:E15)</f>
        <v>47</v>
      </c>
      <c r="G15" s="45">
        <f>IFERROR(C15/$F15,0)</f>
        <v>0.212765957446809</v>
      </c>
      <c r="H15" s="45">
        <f>IFERROR(D15/$F15,0)</f>
        <v>0.553191489361702</v>
      </c>
      <c r="I15" s="45">
        <f>IFERROR(E15/$F15,0)</f>
        <v>0.234042553191489</v>
      </c>
    </row>
    <row r="17" ht="20" customHeight="1">
      <c r="B17" s="4" t="inlineStr">
        <is>
          <t>Average build at scale for your rollout, by recipe and scale outlook (today's $)</t>
        </is>
      </c>
      <c r="C17" s="5" t="n"/>
      <c r="D17" s="5" t="n"/>
      <c r="E17" s="5" t="n"/>
      <c r="F17" s="5" t="n"/>
      <c r="G17" s="5" t="n"/>
      <c r="H17" s="5" t="n"/>
      <c r="I17" s="5" t="n"/>
      <c r="J17" s="5" t="n"/>
      <c r="K17" s="5" t="n"/>
      <c r="L17" s="5" t="n"/>
    </row>
    <row r="18">
      <c r="C18" s="28" t="inlineStr">
        <is>
          <t>Flagship (SPLUS)</t>
        </is>
      </c>
      <c r="F18" s="29" t="inlineStr">
        <is>
          <t>Standard (S)</t>
        </is>
      </c>
      <c r="I18" s="30" t="inlineStr">
        <is>
          <t>Small (D)</t>
        </is>
      </c>
    </row>
    <row r="19" ht="18" customHeight="1">
      <c r="B19" s="10" t="inlineStr">
        <is>
          <t>Recipe</t>
        </is>
      </c>
      <c r="C19" s="11" t="inlineStr">
        <is>
          <t>Cautious</t>
        </is>
      </c>
      <c r="D19" s="11" t="inlineStr">
        <is>
          <t>Expected</t>
        </is>
      </c>
      <c r="E19" s="11" t="inlineStr">
        <is>
          <t>Aggressive</t>
        </is>
      </c>
      <c r="F19" s="11" t="inlineStr">
        <is>
          <t>Cautious</t>
        </is>
      </c>
      <c r="G19" s="11" t="inlineStr">
        <is>
          <t>Expected</t>
        </is>
      </c>
      <c r="H19" s="11" t="inlineStr">
        <is>
          <t>Aggressive</t>
        </is>
      </c>
      <c r="I19" s="11" t="inlineStr">
        <is>
          <t>Cautious</t>
        </is>
      </c>
      <c r="J19" s="11" t="inlineStr">
        <is>
          <t>Expected</t>
        </is>
      </c>
      <c r="K19" s="11" t="inlineStr">
        <is>
          <t>Aggressive</t>
        </is>
      </c>
    </row>
    <row r="20">
      <c r="B20" s="34" t="inlineStr">
        <is>
          <t>Lean</t>
        </is>
      </c>
      <c r="C20" s="39">
        <f>C63*J63+D63*J64+E63</f>
        <v>1100119.84056955</v>
      </c>
      <c r="D20" s="39">
        <f>C63*K63+D63*K64+E63</f>
        <v>1019171.08390196</v>
      </c>
      <c r="E20" s="39">
        <f>C63*L63+D63*L64+E63</f>
        <v>953581.814885177</v>
      </c>
      <c r="F20" s="39">
        <f>C64*J65+D64*J66+E64</f>
        <v>554989.019124145</v>
      </c>
      <c r="G20" s="39">
        <f>C64*K65+D64*K66+E64</f>
        <v>510909.452268259</v>
      </c>
      <c r="H20" s="39">
        <f>C64*L65+D64*L66+E64</f>
        <v>472962.85711141</v>
      </c>
      <c r="I20" s="39">
        <f>C65*J67+D65*J68+E65</f>
        <v>345479.311338289</v>
      </c>
      <c r="J20" s="39">
        <f>C65*K67+D65*K68+E65</f>
        <v>317264.034866442</v>
      </c>
      <c r="K20" s="39">
        <f>C65*L67+D65*L68+E65</f>
        <v>293488.176425844</v>
      </c>
    </row>
    <row r="21">
      <c r="B21" s="34" t="inlineStr">
        <is>
          <t>Balanced</t>
        </is>
      </c>
      <c r="C21" s="39">
        <f>C66*J63+D66*J64+E66</f>
        <v>1321586.86296721</v>
      </c>
      <c r="D21" s="39">
        <f>C66*K63+D66*K64+E66</f>
        <v>1231151.26415049</v>
      </c>
      <c r="E21" s="39">
        <f>C66*L63+D66*L64+E66</f>
        <v>1157929.45762293</v>
      </c>
      <c r="F21" s="39">
        <f>C67*J65+D67*J66+E67</f>
        <v>734986.976898145</v>
      </c>
      <c r="G21" s="39">
        <f>C67*K65+D67*K66+E67</f>
        <v>682952.585715908</v>
      </c>
      <c r="H21" s="39">
        <f>C67*L65+D67*L66+E67</f>
        <v>638526.655641931</v>
      </c>
      <c r="I21" s="39">
        <f>C68*J67+D68*J68+E68</f>
        <v>420595.012238433</v>
      </c>
      <c r="J21" s="39">
        <f>C68*K67+D68*K68+E68</f>
        <v>388970.217516837</v>
      </c>
      <c r="K21" s="39">
        <f>C68*L67+D68*L68+E68</f>
        <v>362331.542324084</v>
      </c>
    </row>
    <row r="22">
      <c r="B22" s="34" t="inlineStr">
        <is>
          <t>Showcase</t>
        </is>
      </c>
      <c r="C22" s="39">
        <f>C69*J63+D69*J64+E69</f>
        <v>1660762.73585183</v>
      </c>
      <c r="D22" s="39">
        <f>C69*K63+D69*K64+E69</f>
        <v>1555798.07563347</v>
      </c>
      <c r="E22" s="39">
        <f>C69*L63+D69*L64+E69</f>
        <v>1470887.06795753</v>
      </c>
      <c r="F22" s="39">
        <f>C70*J65+D70*J66+E70</f>
        <v>902083.608669556</v>
      </c>
      <c r="G22" s="39">
        <f>C70*K65+D70*K66+E70</f>
        <v>842379.933147141</v>
      </c>
      <c r="H22" s="39">
        <f>C70*L65+D70*L66+E70</f>
        <v>791855.809170435</v>
      </c>
      <c r="I22" s="39">
        <f>C71*J67+D71*J68+E71</f>
        <v>485245.859375741</v>
      </c>
      <c r="J22" s="39">
        <f>C71*K67+D71*K68+E71</f>
        <v>450677.414740945</v>
      </c>
      <c r="K22" s="39">
        <f>C71*L67+D71*L68+E71</f>
        <v>421573.520205806</v>
      </c>
    </row>
    <row r="23">
      <c r="B23" s="38" t="inlineStr">
        <is>
          <t>Same stores, same order as your rollout; only the recipe and the scale outlook change.</t>
        </is>
      </c>
    </row>
    <row r="25" ht="20" customHeight="1">
      <c r="B25" s="4" t="inlineStr">
        <is>
          <t>One-time design, first store of each size, by recipe</t>
        </is>
      </c>
      <c r="C25" s="5" t="n"/>
      <c r="D25" s="5" t="n"/>
      <c r="E25" s="5" t="n"/>
      <c r="F25" s="5" t="n"/>
      <c r="G25" s="5" t="n"/>
      <c r="H25" s="5" t="n"/>
      <c r="I25" s="5" t="n"/>
    </row>
    <row r="26" ht="18" customHeight="1">
      <c r="B26" s="10" t="inlineStr">
        <is>
          <t>Recipe</t>
        </is>
      </c>
      <c r="C26" s="28" t="inlineStr">
        <is>
          <t>SPLUS</t>
        </is>
      </c>
      <c r="D26" s="29" t="inlineStr">
        <is>
          <t>S</t>
        </is>
      </c>
      <c r="E26" s="30" t="inlineStr">
        <is>
          <t>D</t>
        </is>
      </c>
      <c r="F26" s="11" t="inlineStr">
        <is>
          <t>Plus program setup</t>
        </is>
      </c>
    </row>
    <row r="27">
      <c r="B27" s="34" t="inlineStr">
        <is>
          <t>Lean</t>
        </is>
      </c>
      <c r="C27" s="39">
        <f>F63</f>
        <v>168000</v>
      </c>
      <c r="D27" s="39">
        <f>F64</f>
        <v>86000</v>
      </c>
      <c r="E27" s="39">
        <f>F65</f>
        <v>46000</v>
      </c>
      <c r="F27" s="39">
        <f>SUM(C27:E27)+ProgramOnce</f>
        <v>656000</v>
      </c>
    </row>
    <row r="28">
      <c r="B28" s="34" t="inlineStr">
        <is>
          <t>Balanced</t>
        </is>
      </c>
      <c r="C28" s="39">
        <f>F66</f>
        <v>220000</v>
      </c>
      <c r="D28" s="39">
        <f>F67</f>
        <v>117000</v>
      </c>
      <c r="E28" s="39">
        <f>F68</f>
        <v>65000</v>
      </c>
      <c r="F28" s="39">
        <f>SUM(C28:E28)+ProgramOnce</f>
        <v>758000</v>
      </c>
    </row>
    <row r="29">
      <c r="B29" s="34" t="inlineStr">
        <is>
          <t>Showcase</t>
        </is>
      </c>
      <c r="C29" s="39">
        <f>F69</f>
        <v>335000</v>
      </c>
      <c r="D29" s="39">
        <f>F70</f>
        <v>165000</v>
      </c>
      <c r="E29" s="39">
        <f>F71</f>
        <v>65000</v>
      </c>
      <c r="F29" s="39">
        <f>SUM(C29:E29)+ProgramOnce</f>
        <v>921000</v>
      </c>
    </row>
    <row r="32" ht="20" customHeight="1">
      <c r="B32" s="4" t="inlineStr">
        <is>
          <t>Your saved runs</t>
        </is>
      </c>
      <c r="C32" s="5" t="n"/>
      <c r="D32" s="5" t="n"/>
      <c r="E32" s="5" t="n"/>
      <c r="F32" s="5" t="n"/>
      <c r="G32" s="5" t="n"/>
      <c r="H32" s="5" t="n"/>
      <c r="I32" s="5" t="n"/>
      <c r="J32" s="5" t="n"/>
      <c r="K32" s="5" t="n"/>
      <c r="L32" s="5" t="n"/>
      <c r="M32" s="5" t="n"/>
      <c r="N32" s="5" t="n"/>
    </row>
    <row r="33">
      <c r="B33" s="38" t="inlineStr">
        <is>
          <t>To save a run: copy row 35 (This run), then Paste Special &gt; Values into the next empty row and give it a name in column B.</t>
        </is>
      </c>
    </row>
    <row r="34" ht="30" customHeight="1">
      <c r="B34" s="10" t="inlineStr">
        <is>
          <t>Run</t>
        </is>
      </c>
      <c r="C34" s="11" t="inlineStr">
        <is>
          <t>Flagship recipe</t>
        </is>
      </c>
      <c r="D34" s="11" t="inlineStr">
        <is>
          <t>Standard recipe</t>
        </is>
      </c>
      <c r="E34" s="11" t="inlineStr">
        <is>
          <t>Small recipe</t>
        </is>
      </c>
      <c r="F34" s="11" t="inlineStr">
        <is>
          <t>Scale outlook</t>
        </is>
      </c>
      <c r="G34" s="11" t="inlineStr">
        <is>
          <t>Stores</t>
        </is>
      </c>
      <c r="H34" s="11" t="inlineStr">
        <is>
          <t>First flagship build</t>
        </is>
      </c>
      <c r="I34" s="11" t="inlineStr">
        <is>
          <t>Streets that pay back (dashboard)</t>
        </is>
      </c>
      <c r="J34" s="11" t="inlineStr">
        <is>
          <t>Peak cash needed</t>
        </is>
      </c>
      <c r="K34" s="11" t="inlineStr">
        <is>
          <t>Pays back in</t>
        </is>
      </c>
      <c r="L34" s="11" t="inlineStr">
        <is>
          <t>NPV</t>
        </is>
      </c>
      <c r="M34" s="11" t="inlineStr">
        <is>
          <t>Cash after 10 years</t>
        </is>
      </c>
      <c r="N34" s="11" t="inlineStr">
        <is>
          <t>Sizes come from</t>
        </is>
      </c>
    </row>
    <row r="35">
      <c r="B35" s="34" t="inlineStr">
        <is>
          <t>This run (live)</t>
        </is>
      </c>
      <c r="C35" s="121" t="str">
        <f>Recipe_SPLUS</f>
        <v>Balanced</v>
      </c>
      <c r="D35" s="121" t="str">
        <f>Recipe_S</f>
        <v>Balanced</v>
      </c>
      <c r="E35" s="121" t="str">
        <f>Recipe_D</f>
        <v>Balanced</v>
      </c>
      <c r="F35" s="121" t="str">
        <f>Outlook</f>
        <v>Expected</v>
      </c>
      <c r="G35" s="20">
        <f>PlanStores</f>
        <v>30</v>
      </c>
      <c r="H35" s="17">
        <f>Pilot_SPLUS</f>
        <v>1416330</v>
      </c>
      <c r="I35" s="20">
        <f>Melbourne!G8</f>
        <v>59</v>
      </c>
      <c r="J35" s="17">
        <f>PeakNeed</f>
        <v>8369720.00913447</v>
      </c>
      <c r="K35" s="121" t="str">
        <f>PaybackText</f>
        <v>Year 6</v>
      </c>
      <c r="L35" s="21">
        <f>NPVProgram</f>
        <v>36135184.0917513</v>
      </c>
      <c r="M35" s="21">
        <f>CashAfter10</f>
        <v>81669092.6568695</v>
      </c>
      <c r="N35" s="121" t="str">
        <f>MixSource</f>
        <v>Melbourne: dashboard test</v>
      </c>
    </row>
    <row r="36">
      <c r="B36" s="122" t="inlineStr">
        <is>
          <t>Example: the defaults</t>
        </is>
      </c>
      <c r="C36" s="35" t="inlineStr">
        <is>
          <t>Balanced</t>
        </is>
      </c>
      <c r="D36" s="35" t="inlineStr">
        <is>
          <t>Balanced</t>
        </is>
      </c>
      <c r="E36" s="35" t="inlineStr">
        <is>
          <t>Balanced</t>
        </is>
      </c>
      <c r="F36" s="35" t="inlineStr">
        <is>
          <t>Expected</t>
        </is>
      </c>
      <c r="G36" s="36" t="n">
        <v>30</v>
      </c>
      <c r="H36" s="54" t="n">
        <v>1416330</v>
      </c>
      <c r="I36" s="36" t="n">
        <v>59</v>
      </c>
      <c r="J36" s="54" t="n">
        <v>8369720.00913447</v>
      </c>
      <c r="K36" s="35" t="inlineStr">
        <is>
          <t>Year 6</t>
        </is>
      </c>
      <c r="L36" s="123" t="n">
        <v>36135184.0917513</v>
      </c>
      <c r="M36" s="123" t="n">
        <v>81669092.65686947</v>
      </c>
      <c r="N36" s="35" t="inlineStr">
        <is>
          <t>Melbourne: dashboard test</t>
        </is>
      </c>
    </row>
    <row r="37">
      <c r="B37" s="122" t="n"/>
      <c r="C37" s="35" t="n"/>
      <c r="D37" s="35" t="n"/>
      <c r="E37" s="35" t="n"/>
      <c r="F37" s="35" t="n"/>
      <c r="G37" s="36" t="n"/>
      <c r="H37" s="54" t="n"/>
      <c r="I37" s="36" t="n"/>
      <c r="J37" s="54" t="n"/>
      <c r="K37" s="35" t="n"/>
      <c r="L37" s="123" t="n"/>
      <c r="M37" s="123" t="n"/>
      <c r="N37" s="35" t="n"/>
    </row>
    <row r="38">
      <c r="B38" s="122" t="n"/>
      <c r="C38" s="35" t="n"/>
      <c r="D38" s="35" t="n"/>
      <c r="E38" s="35" t="n"/>
      <c r="F38" s="35" t="n"/>
      <c r="G38" s="36" t="n"/>
      <c r="H38" s="54" t="n"/>
      <c r="I38" s="36" t="n"/>
      <c r="J38" s="54" t="n"/>
      <c r="K38" s="35" t="n"/>
      <c r="L38" s="123" t="n"/>
      <c r="M38" s="123" t="n"/>
      <c r="N38" s="35" t="n"/>
    </row>
    <row r="39">
      <c r="B39" s="122" t="n"/>
      <c r="C39" s="35" t="n"/>
      <c r="D39" s="35" t="n"/>
      <c r="E39" s="35" t="n"/>
      <c r="F39" s="35" t="n"/>
      <c r="G39" s="36" t="n"/>
      <c r="H39" s="54" t="n"/>
      <c r="I39" s="36" t="n"/>
      <c r="J39" s="54" t="n"/>
      <c r="K39" s="35" t="n"/>
      <c r="L39" s="123" t="n"/>
      <c r="M39" s="123" t="n"/>
      <c r="N39" s="35" t="n"/>
    </row>
    <row r="40">
      <c r="B40" s="122" t="n"/>
      <c r="C40" s="35" t="n"/>
      <c r="D40" s="35" t="n"/>
      <c r="E40" s="35" t="n"/>
      <c r="F40" s="35" t="n"/>
      <c r="G40" s="36" t="n"/>
      <c r="H40" s="54" t="n"/>
      <c r="I40" s="36" t="n"/>
      <c r="J40" s="54" t="n"/>
      <c r="K40" s="35" t="n"/>
      <c r="L40" s="123" t="n"/>
      <c r="M40" s="123" t="n"/>
      <c r="N40" s="35" t="n"/>
    </row>
    <row r="41">
      <c r="B41" s="122" t="n"/>
      <c r="C41" s="35" t="n"/>
      <c r="D41" s="35" t="n"/>
      <c r="E41" s="35" t="n"/>
      <c r="F41" s="35" t="n"/>
      <c r="G41" s="36" t="n"/>
      <c r="H41" s="54" t="n"/>
      <c r="I41" s="36" t="n"/>
      <c r="J41" s="54" t="n"/>
      <c r="K41" s="35" t="n"/>
      <c r="L41" s="123" t="n"/>
      <c r="M41" s="123" t="n"/>
      <c r="N41" s="35" t="n"/>
    </row>
    <row r="42">
      <c r="B42" s="122" t="n"/>
      <c r="C42" s="35" t="n"/>
      <c r="D42" s="35" t="n"/>
      <c r="E42" s="35" t="n"/>
      <c r="F42" s="35" t="n"/>
      <c r="G42" s="36" t="n"/>
      <c r="H42" s="54" t="n"/>
      <c r="I42" s="36" t="n"/>
      <c r="J42" s="54" t="n"/>
      <c r="K42" s="35" t="n"/>
      <c r="L42" s="123" t="n"/>
      <c r="M42" s="123" t="n"/>
      <c r="N42" s="35" t="n"/>
    </row>
    <row r="43">
      <c r="B43" s="122" t="n"/>
      <c r="C43" s="35" t="n"/>
      <c r="D43" s="35" t="n"/>
      <c r="E43" s="35" t="n"/>
      <c r="F43" s="35" t="n"/>
      <c r="G43" s="36" t="n"/>
      <c r="H43" s="54" t="n"/>
      <c r="I43" s="36" t="n"/>
      <c r="J43" s="54" t="n"/>
      <c r="K43" s="35" t="n"/>
      <c r="L43" s="123" t="n"/>
      <c r="M43" s="123" t="n"/>
      <c r="N43" s="35" t="n"/>
    </row>
    <row r="44">
      <c r="B44" s="122" t="n"/>
      <c r="C44" s="35" t="n"/>
      <c r="D44" s="35" t="n"/>
      <c r="E44" s="35" t="n"/>
      <c r="F44" s="35" t="n"/>
      <c r="G44" s="36" t="n"/>
      <c r="H44" s="54" t="n"/>
      <c r="I44" s="36" t="n"/>
      <c r="J44" s="54" t="n"/>
      <c r="K44" s="35" t="n"/>
      <c r="L44" s="123" t="n"/>
      <c r="M44" s="123" t="n"/>
      <c r="N44" s="35" t="n"/>
    </row>
    <row r="45">
      <c r="B45" s="122" t="n"/>
      <c r="C45" s="35" t="n"/>
      <c r="D45" s="35" t="n"/>
      <c r="E45" s="35" t="n"/>
      <c r="F45" s="35" t="n"/>
      <c r="G45" s="36" t="n"/>
      <c r="H45" s="54" t="n"/>
      <c r="I45" s="36" t="n"/>
      <c r="J45" s="54" t="n"/>
      <c r="K45" s="35" t="n"/>
      <c r="L45" s="123" t="n"/>
      <c r="M45" s="123" t="n"/>
      <c r="N45" s="35" t="n"/>
    </row>
    <row r="46">
      <c r="B46" s="122" t="n"/>
      <c r="C46" s="35" t="n"/>
      <c r="D46" s="35" t="n"/>
      <c r="E46" s="35" t="n"/>
      <c r="F46" s="35" t="n"/>
      <c r="G46" s="36" t="n"/>
      <c r="H46" s="54" t="n"/>
      <c r="I46" s="36" t="n"/>
      <c r="J46" s="54" t="n"/>
      <c r="K46" s="35" t="n"/>
      <c r="L46" s="123" t="n"/>
      <c r="M46" s="123" t="n"/>
      <c r="N46" s="35" t="n"/>
    </row>
    <row r="61" ht="20" customHeight="1">
      <c r="B61" s="108" t="inlineStr">
        <is>
          <t>Workings (feeds the tables above)</t>
        </is>
      </c>
      <c r="C61" s="5" t="n"/>
      <c r="D61" s="5" t="n"/>
      <c r="E61" s="5" t="n"/>
      <c r="F61" s="5" t="n"/>
      <c r="G61" s="5" t="n"/>
      <c r="H61" s="5" t="n"/>
      <c r="I61" s="5" t="n"/>
      <c r="J61" s="5" t="n"/>
      <c r="K61" s="5" t="n"/>
      <c r="L61" s="5" t="n"/>
    </row>
    <row r="62" ht="18" customHeight="1">
      <c r="B62" s="10" t="inlineStr">
        <is>
          <t>Per recipe and size</t>
        </is>
      </c>
      <c r="C62" s="11" t="inlineStr">
        <is>
          <t>Learning</t>
        </is>
      </c>
      <c r="D62" s="11" t="inlineStr">
        <is>
          <t>Price breaks</t>
        </is>
      </c>
      <c r="E62" s="11" t="inlineStr">
        <is>
          <t>No scale effect</t>
        </is>
      </c>
      <c r="F62" s="11" t="inlineStr">
        <is>
          <t>One-time design</t>
        </is>
      </c>
      <c r="G62" s="11" t="inlineStr"/>
      <c r="H62" s="11" t="inlineStr"/>
      <c r="I62" s="11" t="inlineStr">
        <is>
          <t>Average factors</t>
        </is>
      </c>
      <c r="J62" s="11" t="inlineStr">
        <is>
          <t>Cautious</t>
        </is>
      </c>
      <c r="K62" s="11" t="inlineStr">
        <is>
          <t>Expected</t>
        </is>
      </c>
      <c r="L62" s="11" t="inlineStr">
        <is>
          <t>Aggressive</t>
        </is>
      </c>
    </row>
    <row r="63">
      <c r="B63" s="68" t="inlineStr">
        <is>
          <t>Lean · SPLUS</t>
        </is>
      </c>
      <c r="C63" s="76">
        <f>SUMIFS(Switchboard!Z$16:Z$45,Switchboard!$Q$16:$Q$45,"Learning")</f>
        <v>587650</v>
      </c>
      <c r="D63" s="76">
        <f>SUMIFS(Switchboard!Z$16:Z$45,Switchboard!$Q$16:$Q$45,"Price breaks")</f>
        <v>349200</v>
      </c>
      <c r="E63" s="76">
        <f>SUMIFS(Switchboard!Z$16:Z$45,Switchboard!$Q$16:$Q$45,"No scale effect")</f>
        <v>245800</v>
      </c>
      <c r="F63" s="76">
        <f>Switchboard!Z52</f>
        <v>168000</v>
      </c>
      <c r="I63" s="68" t="inlineStr">
        <is>
          <t>SPLUS · learning</t>
        </is>
      </c>
      <c r="J63" s="61">
        <f>IFERROR(AVERAGEIFS(Rollout!$AR$22:$AR$121,Rollout!$C$22:$C$121,"SPLUS"),1)</f>
        <v>0.885026044167891</v>
      </c>
      <c r="K63" s="61">
        <f>IFERROR(AVERAGEIFS(Rollout!$AT$22:$AT$121,Rollout!$C$22:$C$121,"SPLUS"),1)</f>
        <v>0.764254132638172</v>
      </c>
      <c r="L63" s="61">
        <f>IFERROR(AVERAGEIFS(Rollout!$AV$22:$AV$121,Rollout!$C$22:$C$121,"SPLUS"),1)</f>
        <v>0.666223749363989</v>
      </c>
    </row>
    <row r="64">
      <c r="B64" s="68" t="inlineStr">
        <is>
          <t>Lean · S</t>
        </is>
      </c>
      <c r="C64" s="76">
        <f>SUMIFS(Switchboard!AA$16:AA$45,Switchboard!$Q$16:$Q$45,"Learning")</f>
        <v>326895</v>
      </c>
      <c r="D64" s="76">
        <f>SUMIFS(Switchboard!AA$16:AA$45,Switchboard!$Q$16:$Q$45,"Price breaks")</f>
        <v>174000</v>
      </c>
      <c r="E64" s="76">
        <f>SUMIFS(Switchboard!AA$16:AA$45,Switchboard!$Q$16:$Q$45,"No scale effect")</f>
        <v>108200</v>
      </c>
      <c r="F64" s="76">
        <f>Switchboard!AA52</f>
        <v>86000</v>
      </c>
      <c r="I64" s="68" t="inlineStr">
        <is>
          <t>SPLUS · price</t>
        </is>
      </c>
      <c r="J64" s="61">
        <f>IFERROR(AVERAGEIFS(Rollout!$AS$22:$AS$121,Rollout!$C$22:$C$121,"SPLUS"),1)</f>
        <v>0.957142857142857</v>
      </c>
      <c r="K64" s="61">
        <f>IFERROR(AVERAGEIFS(Rollout!$AU$22:$AU$121,Rollout!$C$22:$C$121,"SPLUS"),1)</f>
        <v>0.928571428571429</v>
      </c>
      <c r="L64" s="61">
        <f>IFERROR(AVERAGEIFS(Rollout!$AW$22:$AW$121,Rollout!$C$22:$C$121,"SPLUS"),1)</f>
        <v>0.905714285714286</v>
      </c>
    </row>
    <row r="65">
      <c r="B65" s="68" t="inlineStr">
        <is>
          <t>Lean · D</t>
        </is>
      </c>
      <c r="C65" s="76">
        <f>SUMIFS(Switchboard!AB$16:AB$45,Switchboard!$Q$16:$Q$45,"Learning")</f>
        <v>192845</v>
      </c>
      <c r="D65" s="76">
        <f>SUMIFS(Switchboard!AB$16:AB$45,Switchboard!$Q$16:$Q$45,"Price breaks")</f>
        <v>106000</v>
      </c>
      <c r="E65" s="76">
        <f>SUMIFS(Switchboard!AB$16:AB$45,Switchboard!$Q$16:$Q$45,"No scale effect")</f>
        <v>75100</v>
      </c>
      <c r="F65" s="76">
        <f>Switchboard!AB52</f>
        <v>46000</v>
      </c>
      <c r="I65" s="68" t="inlineStr">
        <is>
          <t>S · learning</t>
        </is>
      </c>
      <c r="J65" s="61">
        <f>IFERROR(AVERAGEIFS(Rollout!$AR$22:$AR$121,Rollout!$C$22:$C$121,"S"),1)</f>
        <v>0.859324918166827</v>
      </c>
      <c r="K65" s="61">
        <f>IFERROR(AVERAGEIFS(Rollout!$AT$22:$AT$121,Rollout!$C$22:$C$121,"S"),1)</f>
        <v>0.741514713495951</v>
      </c>
      <c r="L65" s="61">
        <f>IFERROR(AVERAGEIFS(Rollout!$AV$22:$AV$121,Rollout!$C$22:$C$121,"S"),1)</f>
        <v>0.63820755016568</v>
      </c>
    </row>
    <row r="66">
      <c r="B66" s="68" t="inlineStr">
        <is>
          <t>Balanced · SPLUS</t>
        </is>
      </c>
      <c r="C66" s="76">
        <f>SUMIFS(Switchboard!AC$16:AC$45,Switchboard!$Q$16:$Q$45,"Learning")</f>
        <v>618130</v>
      </c>
      <c r="D66" s="76">
        <f>SUMIFS(Switchboard!AC$16:AC$45,Switchboard!$Q$16:$Q$45,"Price breaks")</f>
        <v>552400</v>
      </c>
      <c r="E66" s="76">
        <f>SUMIFS(Switchboard!AC$16:AC$45,Switchboard!$Q$16:$Q$45,"No scale effect")</f>
        <v>245800</v>
      </c>
      <c r="F66" s="76">
        <f>Switchboard!AC52</f>
        <v>220000</v>
      </c>
      <c r="I66" s="68" t="inlineStr">
        <is>
          <t>S · price</t>
        </is>
      </c>
      <c r="J66" s="61">
        <f>IFERROR(AVERAGEIFS(Rollout!$AS$22:$AS$121,Rollout!$C$22:$C$121,"S"),1)</f>
        <v>0.953333333333333</v>
      </c>
      <c r="K66" s="61">
        <f>IFERROR(AVERAGEIFS(Rollout!$AU$22:$AU$121,Rollout!$C$22:$C$121,"S"),1)</f>
        <v>0.921333333333333</v>
      </c>
      <c r="L66" s="61">
        <f>IFERROR(AVERAGEIFS(Rollout!$AW$22:$AW$121,Rollout!$C$22:$C$121,"S"),1)</f>
        <v>0.897333333333333</v>
      </c>
    </row>
    <row r="67">
      <c r="B67" s="68" t="inlineStr">
        <is>
          <t>Balanced · S</t>
        </is>
      </c>
      <c r="C67" s="76">
        <f>SUMIFS(Switchboard!AD$16:AD$45,Switchboard!$Q$16:$Q$45,"Learning")</f>
        <v>361225</v>
      </c>
      <c r="D67" s="76">
        <f>SUMIFS(Switchboard!AD$16:AD$45,Switchboard!$Q$16:$Q$45,"Price breaks")</f>
        <v>296200</v>
      </c>
      <c r="E67" s="76">
        <f>SUMIFS(Switchboard!AD$16:AD$45,Switchboard!$Q$16:$Q$45,"No scale effect")</f>
        <v>142200</v>
      </c>
      <c r="F67" s="76">
        <f>Switchboard!AD52</f>
        <v>117000</v>
      </c>
      <c r="I67" s="68" t="inlineStr">
        <is>
          <t>D · learning</t>
        </is>
      </c>
      <c r="J67" s="61">
        <f>IFERROR(AVERAGEIFS(Rollout!$AR$22:$AR$121,Rollout!$C$22:$C$121,"D"),1)</f>
        <v>0.877125729670402</v>
      </c>
      <c r="K67" s="61">
        <f>IFERROR(AVERAGEIFS(Rollout!$AT$22:$AT$121,Rollout!$C$22:$C$121,"D"),1)</f>
        <v>0.747305011104474</v>
      </c>
      <c r="L67" s="61">
        <f>IFERROR(AVERAGEIFS(Rollout!$AV$22:$AV$121,Rollout!$C$22:$C$121,"D"),1)</f>
        <v>0.637756625403012</v>
      </c>
    </row>
    <row r="68">
      <c r="B68" s="68" t="inlineStr">
        <is>
          <t>Balanced · D</t>
        </is>
      </c>
      <c r="C68" s="76">
        <f>SUMIFS(Switchboard!AE$16:AE$45,Switchboard!$Q$16:$Q$45,"Learning")</f>
        <v>208640</v>
      </c>
      <c r="D68" s="76">
        <f>SUMIFS(Switchboard!AE$16:AE$45,Switchboard!$Q$16:$Q$45,"Price breaks")</f>
        <v>151300</v>
      </c>
      <c r="E68" s="76">
        <f>SUMIFS(Switchboard!AE$16:AE$45,Switchboard!$Q$16:$Q$45,"No scale effect")</f>
        <v>93100</v>
      </c>
      <c r="F68" s="76">
        <f>Switchboard!AE52</f>
        <v>65000</v>
      </c>
      <c r="I68" s="68" t="inlineStr">
        <is>
          <t>D · price</t>
        </is>
      </c>
      <c r="J68" s="61">
        <f>IFERROR(AVERAGEIFS(Rollout!$AS$22:$AS$121,Rollout!$C$22:$C$121,"D"),1)</f>
        <v>0.955</v>
      </c>
      <c r="K68" s="61">
        <f>IFERROR(AVERAGEIFS(Rollout!$AU$22:$AU$121,Rollout!$C$22:$C$121,"D"),1)</f>
        <v>0.925</v>
      </c>
      <c r="L68" s="61">
        <f>IFERROR(AVERAGEIFS(Rollout!$AW$22:$AW$121,Rollout!$C$22:$C$121,"D"),1)</f>
        <v>0.9</v>
      </c>
    </row>
    <row r="69">
      <c r="B69" s="68" t="inlineStr">
        <is>
          <t>Showcase · SPLUS</t>
        </is>
      </c>
      <c r="C69" s="76">
        <f>SUMIFS(Switchboard!AF$16:AF$45,Switchboard!$Q$16:$Q$45,"Learning")</f>
        <v>664810</v>
      </c>
      <c r="D69" s="76">
        <f>SUMIFS(Switchboard!AF$16:AF$45,Switchboard!$Q$16:$Q$45,"Price breaks")</f>
        <v>863600</v>
      </c>
      <c r="E69" s="76">
        <f>SUMIFS(Switchboard!AF$16:AF$45,Switchboard!$Q$16:$Q$45,"No scale effect")</f>
        <v>245800</v>
      </c>
      <c r="F69" s="76">
        <f>Switchboard!AF52</f>
        <v>335000</v>
      </c>
    </row>
    <row r="70">
      <c r="B70" s="68" t="inlineStr">
        <is>
          <t>Showcase · S</t>
        </is>
      </c>
      <c r="C70" s="76">
        <f>SUMIFS(Switchboard!AG$16:AG$45,Switchboard!$Q$16:$Q$45,"Learning")</f>
        <v>384385</v>
      </c>
      <c r="D70" s="76">
        <f>SUMIFS(Switchboard!AG$16:AG$45,Switchboard!$Q$16:$Q$45,"Price breaks")</f>
        <v>450600</v>
      </c>
      <c r="E70" s="76">
        <f>SUMIFS(Switchboard!AG$16:AG$45,Switchboard!$Q$16:$Q$45,"No scale effect")</f>
        <v>142200</v>
      </c>
      <c r="F70" s="76">
        <f>Switchboard!AG52</f>
        <v>165000</v>
      </c>
    </row>
    <row r="71">
      <c r="B71" s="68" t="inlineStr">
        <is>
          <t>Showcase · D</t>
        </is>
      </c>
      <c r="C71" s="76">
        <f>SUMIFS(Switchboard!AH$16:AH$45,Switchboard!$Q$16:$Q$45,"Learning")</f>
        <v>217565</v>
      </c>
      <c r="D71" s="76">
        <f>SUMIFS(Switchboard!AH$16:AH$45,Switchboard!$Q$16:$Q$45,"Price breaks")</f>
        <v>210800</v>
      </c>
      <c r="E71" s="76">
        <f>SUMIFS(Switchboard!AH$16:AH$45,Switchboard!$Q$16:$Q$45,"No scale effect")</f>
        <v>93100</v>
      </c>
      <c r="F71" s="76">
        <f>Switchboard!AH52</f>
        <v>65000</v>
      </c>
    </row>
  </sheetData>
  <mergeCells count="3">
    <mergeCell ref="C18:E18"/>
    <mergeCell ref="F18:H18"/>
    <mergeCell ref="I18:K18"/>
  </mergeCells>
  <pageMargins left="0.75" right="0.75" top="1" bottom="1" header="0.5" footer="0.5"/>
  <pageSetup orientation="landscape" fitToHeight="0" fitToWidth="1"/>
  <drawing xmlns:r="http://schemas.openxmlformats.org/officeDocument/2006/relationships" r:id="rId1"/>
</worksheet>
</file>

<file path=xl/worksheets/sheet10.xml><?xml version="1.0" encoding="utf-8"?>
<worksheet xmlns="http://schemas.openxmlformats.org/spreadsheetml/2006/main">
  <sheetPr>
    <tabColor rgb="006B625C"/>
    <outlinePr summaryBelow="1" summaryRight="1"/>
    <pageSetUpPr fitToPage="1"/>
  </sheetPr>
  <dimension ref="B1:C57"/>
  <sheetViews>
    <sheetView showGridLines="0" zoomScale="100" workbookViewId="0">
      <selection activeCell="A1" sqref="A1"/>
    </sheetView>
  </sheetViews>
  <sheetFormatPr baseColWidth="8" defaultRowHeight="15"/>
  <cols>
    <col width="2" customWidth="1" min="1" max="1"/>
    <col width="34" customWidth="1" min="2" max="2"/>
    <col width="100" customWidth="1" min="3" max="3"/>
  </cols>
  <sheetData>
    <row r="1" ht="30" customHeight="1">
      <c r="B1" s="32" t="inlineStr">
        <is>
          <t>Notes · how it works</t>
        </is>
      </c>
    </row>
    <row r="2">
      <c r="B2" s="33" t="inlineStr">
        <is>
          <t>Plain words first; the formulas are in the cells.</t>
        </is>
      </c>
    </row>
    <row r="4" ht="20" customHeight="1">
      <c r="B4" s="4" t="inlineStr">
        <is>
          <t>What this is</t>
        </is>
      </c>
      <c r="C4" s="5" t="n"/>
    </row>
    <row r="5" ht="43.5" customHeight="1">
      <c r="B5" s="124" t="inlineStr"/>
      <c r="C5" s="31" t="inlineStr">
        <is>
          <t>A playable model of opening a chain of experiential stores in three sizes: flagship (SPLUS), standard (S) and small (D). It prices each store line by line, lowers the cost of later stores with learning and price breaks, tests 78 real Melbourne streets for payback, and runs the whole rollout as a 10-year cash flow.</t>
        </is>
      </c>
    </row>
    <row r="6" ht="30" customHeight="1">
      <c r="B6" s="124" t="inlineStr"/>
      <c r="C6" s="31" t="inlineStr">
        <is>
          <t>Every cost and store number is illustrative and anonymized. They are not any company's figures. The street counts are real public data.</t>
        </is>
      </c>
    </row>
    <row r="8" ht="20" customHeight="1">
      <c r="B8" s="4" t="inlineStr">
        <is>
          <t>How the numbers flow</t>
        </is>
      </c>
      <c r="C8" s="5" t="n"/>
    </row>
    <row r="9" ht="16.5" customHeight="1">
      <c r="B9" s="124" t="inlineStr">
        <is>
          <t>1  Switchboard</t>
        </is>
      </c>
      <c r="C9" s="31" t="inlineStr">
        <is>
          <t>Line items x the recipe you pick x your calls = the first store's build for each size.</t>
        </is>
      </c>
    </row>
    <row r="10" ht="16.5" customHeight="1">
      <c r="B10" s="124" t="inlineStr">
        <is>
          <t>2  Scale</t>
        </is>
      </c>
      <c r="C10" s="31" t="inlineStr">
        <is>
          <t>Learning (labour-type lines) and price breaks (bought kit) set what each later store costs.</t>
        </is>
      </c>
    </row>
    <row r="11" ht="16.5" customHeight="1">
      <c r="B11" s="124" t="inlineStr">
        <is>
          <t>3  Melbourne</t>
        </is>
      </c>
      <c r="C11" s="31" t="inlineStr">
        <is>
          <t>The first-store builds test the 78 streets. The streets that pay back set the mix of sizes.</t>
        </is>
      </c>
    </row>
    <row r="12" ht="16.5" customHeight="1">
      <c r="B12" s="124" t="inlineStr">
        <is>
          <t>4  Rollout</t>
        </is>
      </c>
      <c r="C12" s="31" t="inlineStr">
        <is>
          <t>Openings per year x the mix = every store's size, opening year, build and street, busiest paying street first.</t>
        </is>
      </c>
    </row>
    <row r="13" ht="16.5" customHeight="1">
      <c r="B13" s="124" t="inlineStr">
        <is>
          <t>5  Store P&amp;L</t>
        </is>
      </c>
      <c r="C13" s="31" t="inlineStr">
        <is>
          <t>Sales, margins and running costs for a store on a given street.</t>
        </is>
      </c>
    </row>
    <row r="14" ht="16.5" customHeight="1">
      <c r="B14" s="124" t="inlineStr">
        <is>
          <t>6  Program</t>
        </is>
      </c>
      <c r="C14" s="31" t="inlineStr">
        <is>
          <t>All stores together, year by year: investment, store profit, program costs, cash, payback and NPV.</t>
        </is>
      </c>
    </row>
    <row r="15" ht="30" customHeight="1">
      <c r="B15" s="124" t="inlineStr">
        <is>
          <t>No loops</t>
        </is>
      </c>
      <c r="C15" s="31" t="inlineStr">
        <is>
          <t>The mix comes from the first-store builds, so the rollout can't feed back into it. The 'at scale' tests use the rollout's average build and are views only.</t>
        </is>
      </c>
    </row>
    <row r="17" ht="20" customHeight="1">
      <c r="B17" s="4" t="inlineStr">
        <is>
          <t>Key formulas</t>
        </is>
      </c>
      <c r="C17" s="5" t="n"/>
    </row>
    <row r="18" ht="30" customHeight="1">
      <c r="B18" s="124" t="inlineStr">
        <is>
          <t>Learning</t>
        </is>
      </c>
      <c r="C18" s="31" t="inlineStr">
        <is>
          <t>Cost of the nth store = first-store cost x MAX(floor, n ^ log2(learning rate)). n counts stores of the same size plus the shared share of the other sizes' stores.</t>
        </is>
      </c>
    </row>
    <row r="19" ht="16.5" customHeight="1">
      <c r="B19" s="124" t="inlineStr">
        <is>
          <t>Price breaks</t>
        </is>
      </c>
      <c r="C19" s="31" t="inlineStr">
        <is>
          <t>Bought kit x (1 - the price break for the stores bought so far, or for the whole plan if you commit).</t>
        </is>
      </c>
    </row>
    <row r="20" ht="16.5" customHeight="1">
      <c r="B20" s="124" t="inlineStr">
        <is>
          <t>Store build</t>
        </is>
      </c>
      <c r="C20" s="31" t="inlineStr">
        <is>
          <t>Learning lines x learning factor + price-break lines x price factor + lines with no scale effect.</t>
        </is>
      </c>
    </row>
    <row r="21" ht="30" customHeight="1">
      <c r="B21" s="124" t="inlineStr">
        <is>
          <t>Dashboard test</t>
        </is>
      </c>
      <c r="C21" s="31" t="inlineStr">
        <is>
          <t>Capture needed = build / (payback years x spend x conversion x flat margin) / passers-by a year. It pays back if that is at most the capture you can win. Identical to the Tableau dashboard.</t>
        </is>
      </c>
    </row>
    <row r="22" ht="43.5" customHeight="1">
      <c r="B22" s="124" t="inlineStr">
        <is>
          <t>Full store P&amp;L test</t>
        </is>
      </c>
      <c r="C22" s="31" t="inlineStr">
        <is>
          <t>Sales needed = (build + yearly running costs x payback years) / (contribution margin x mature years of sales in the payback period). It pays back if the street can give that much: passers-by x capture x street factor x conversion x spend, capped by what the store can sell.</t>
        </is>
      </c>
    </row>
    <row r="23" ht="16.5" customHeight="1">
      <c r="B23" s="124" t="inlineStr">
        <is>
          <t>Rent</t>
        </is>
      </c>
      <c r="C23" s="31" t="inlineStr">
        <is>
          <t>Floor area x rent at the reference street x (passers-by / the median street's passers-by) ^ elasticity.</t>
        </is>
      </c>
    </row>
    <row r="24" ht="30" customHeight="1">
      <c r="B24" s="124" t="inlineStr">
        <is>
          <t>Store sizes</t>
        </is>
      </c>
      <c r="C24" s="31" t="inlineStr">
        <is>
          <t>The mix is rounded to whole stores (largest remainder). Stores then interleave so the mix holds at every point of the rollout, flagship first if you choose.</t>
        </is>
      </c>
    </row>
    <row r="25" ht="16.5" customHeight="1">
      <c r="B25" s="124" t="inlineStr">
        <is>
          <t>Streets</t>
        </is>
      </c>
      <c r="C25" s="31" t="inlineStr">
        <is>
          <t>Each size takes its paying streets busiest first; a bigger rollout repeats the list (the next city).</t>
        </is>
      </c>
    </row>
    <row r="26" ht="16.5" customHeight="1">
      <c r="B26" s="124" t="inlineStr">
        <is>
          <t>Payback (store)</t>
        </is>
      </c>
      <c r="C26" s="31" t="inlineStr">
        <is>
          <t>Years from opening until the store's profit, with the sales ramp, covers its build.</t>
        </is>
      </c>
    </row>
    <row r="27" ht="30" customHeight="1">
      <c r="B27" s="124" t="inlineStr">
        <is>
          <t>Program cash</t>
        </is>
      </c>
      <c r="C27" s="31" t="inlineStr">
        <is>
          <t>Builds in each opening year's dollars; store profit with the ramp and a part-traded opening year; NPV of the 10 yearly cash flows at your discount rate, with no value after year 10.</t>
        </is>
      </c>
    </row>
    <row r="29" ht="20" customHeight="1">
      <c r="B29" s="4" t="inlineStr">
        <is>
          <t>What the dashboard test leaves out</t>
        </is>
      </c>
      <c r="C29" s="5" t="n"/>
    </row>
    <row r="30" ht="43.5" customHeight="1">
      <c r="B30" s="124" t="inlineStr"/>
      <c r="C30" s="31" t="inlineStr">
        <is>
          <t>One flat margin for every store, no rent differences between streets, no sales ramp, and every street converts passers-by alike. The full store P&amp;L adds each of these. Busy destination streets get better; quiet streets and commuter routes drop out, because a store's running costs don't shrink with its street.</t>
        </is>
      </c>
    </row>
    <row r="32" ht="20" customHeight="1">
      <c r="B32" s="4" t="inlineStr">
        <is>
          <t>Where the defaults come from</t>
        </is>
      </c>
      <c r="C32" s="5" t="n"/>
    </row>
    <row r="33" ht="30" customHeight="1">
      <c r="B33" s="124" t="inlineStr">
        <is>
          <t>Tableau defaults</t>
        </is>
      </c>
      <c r="C33" s="31" t="inlineStr">
        <is>
          <t>Spend $80, conversion 20%, capture 3%, payback 3 years, flat margin 25%, street bars 12,000 and 5,000 weekday passers-by: the same as the dashboard's sliders.</t>
        </is>
      </c>
    </row>
    <row r="34" ht="30" customHeight="1">
      <c r="B34" s="124" t="inlineStr">
        <is>
          <t>Store builds</t>
        </is>
      </c>
      <c r="C34" s="31" t="inlineStr">
        <is>
          <t>Balanced recipe line items: flagship $1,416,330, standard $799,625, small $453,040. Rounded to the dashboard's $50,000 steps: $1,400,000, $800,000 and $450,000.</t>
        </is>
      </c>
    </row>
    <row r="35" ht="30" customHeight="1">
      <c r="B35" s="124" t="inlineStr">
        <is>
          <t>Scale</t>
        </is>
      </c>
      <c r="C35" s="31" t="inlineStr">
        <is>
          <t>Expected outlook: 90% learning rate, 70% floor, 50% shared experience, price breaks of 3% to 14% from 3 to 30 stores, 10% off software licences.</t>
        </is>
      </c>
    </row>
    <row r="36" ht="30" customHeight="1">
      <c r="B36" s="124" t="inlineStr">
        <is>
          <t>Running costs</t>
        </is>
      </c>
      <c r="C36" s="31" t="inlineStr">
        <is>
          <t>Rent $85 per ft² at the median street (elasticity 0.55), store teams of 8, 5 and 3.5 at $48,000, gross margin 60%, variable costs 7% of sales, sales ramp 75% then 92%.</t>
        </is>
      </c>
    </row>
    <row r="37" ht="30" customHeight="1">
      <c r="B37" s="124" t="inlineStr">
        <is>
          <t>Program</t>
        </is>
      </c>
      <c r="C37" s="31" t="inlineStr">
        <is>
          <t>30 stores over five years (2, 4, 6, 8, 10), central team $1M a year, one technician per 8 stores and one area manager per 10.</t>
        </is>
      </c>
    </row>
    <row r="38" ht="16.5" customHeight="1">
      <c r="B38" s="124" t="inlineStr">
        <is>
          <t>Your own mix</t>
        </is>
      </c>
      <c r="C38" s="31" t="inlineStr">
        <is>
          <t>30 / 50 / 20 is my own illustrative split from before the Melbourne work.</t>
        </is>
      </c>
    </row>
    <row r="39" ht="16.5" customHeight="1">
      <c r="B39" s="124" t="inlineStr">
        <is>
          <t>All of it</t>
        </is>
      </c>
      <c r="C39" s="31" t="inlineStr">
        <is>
          <t>Illustrative, and every input is on the sheets in blue so you can put in your own.</t>
        </is>
      </c>
    </row>
    <row r="41" ht="20" customHeight="1">
      <c r="B41" s="4" t="inlineStr">
        <is>
          <t>The street data</t>
        </is>
      </c>
      <c r="C41" s="5" t="n"/>
    </row>
    <row r="42" ht="16.5" customHeight="1">
      <c r="B42" s="124" t="inlineStr">
        <is>
          <t>Source</t>
        </is>
      </c>
      <c r="C42" s="31" t="inlineStr">
        <is>
          <t>City of Melbourne Open Data, pedestrian counting system: hourly counts, 23 August 2024 to 22 August 2026.</t>
        </is>
      </c>
    </row>
    <row r="43" ht="30" customHeight="1">
      <c r="B43" s="124" t="inlineStr">
        <is>
          <t>Cleaning</t>
        </is>
      </c>
      <c r="C43" s="31" t="inlineStr">
        <is>
          <t>78 street sensors that reported at least 90% of their hours from the start (indoor sensors excluded). Three sensors missing from the city's location file were named from its 2009 to 2022 archive.</t>
        </is>
      </c>
    </row>
    <row r="44" ht="30" customHeight="1">
      <c r="B44" s="124" t="inlineStr">
        <is>
          <t>Kinds of street</t>
        </is>
      </c>
      <c r="C44" s="31" t="inlineStr">
        <is>
          <t>Seven, set by published rules on volume, direction, weekends and evenings (no clustering). 'Size on the dashboard' is each street's size at the default bars.</t>
        </is>
      </c>
    </row>
    <row r="46" ht="20" customHeight="1">
      <c r="B46" s="4" t="inlineStr">
        <is>
          <t>Glossary</t>
        </is>
      </c>
      <c r="C46" s="5" t="n"/>
    </row>
    <row r="47" ht="16.5" customHeight="1">
      <c r="B47" s="124" t="inlineStr">
        <is>
          <t>Capture</t>
        </is>
      </c>
      <c r="C47" s="31" t="inlineStr">
        <is>
          <t>The share of passers-by who walk in.</t>
        </is>
      </c>
    </row>
    <row r="48" ht="16.5" customHeight="1">
      <c r="B48" s="124" t="inlineStr">
        <is>
          <t>Conversion</t>
        </is>
      </c>
      <c r="C48" s="31" t="inlineStr">
        <is>
          <t>The share of visitors who buy.</t>
        </is>
      </c>
    </row>
    <row r="49" ht="16.5" customHeight="1">
      <c r="B49" s="124" t="inlineStr">
        <is>
          <t>Gross margin</t>
        </is>
      </c>
      <c r="C49" s="31" t="inlineStr">
        <is>
          <t>What's left of a sale after the cost of the product.</t>
        </is>
      </c>
    </row>
    <row r="50" ht="16.5" customHeight="1">
      <c r="B50" s="124" t="inlineStr">
        <is>
          <t>Contribution margin</t>
        </is>
      </c>
      <c r="C50" s="31" t="inlineStr">
        <is>
          <t>Gross margin less the costs that rise with sales (card fees, shrink, packaging, incentives).</t>
        </is>
      </c>
    </row>
    <row r="51" ht="16.5" customHeight="1">
      <c r="B51" s="124" t="inlineStr">
        <is>
          <t>Store profit</t>
        </is>
      </c>
      <c r="C51" s="31" t="inlineStr">
        <is>
          <t>Contribution less rent and running costs: what a store adds before head-office costs.</t>
        </is>
      </c>
    </row>
    <row r="52" ht="16.5" customHeight="1">
      <c r="B52" s="124" t="inlineStr">
        <is>
          <t>Learning rate</t>
        </is>
      </c>
      <c r="C52" s="31" t="inlineStr">
        <is>
          <t>The cost after each doubling of experience: 90% means 10% cheaper every time experience doubles.</t>
        </is>
      </c>
    </row>
    <row r="53" ht="16.5" customHeight="1">
      <c r="B53" s="124" t="inlineStr">
        <is>
          <t>Price break</t>
        </is>
      </c>
      <c r="C53" s="31" t="inlineStr">
        <is>
          <t>A lower price for bought kit once the order volume passes a threshold.</t>
        </is>
      </c>
    </row>
    <row r="54" ht="16.5" customHeight="1">
      <c r="B54" s="124" t="inlineStr">
        <is>
          <t>Recipe</t>
        </is>
      </c>
      <c r="C54" s="31" t="inlineStr">
        <is>
          <t>A preset of which line items a store includes: Lean, Balanced or Showcase.</t>
        </is>
      </c>
    </row>
    <row r="55" ht="16.5" customHeight="1">
      <c r="B55" s="124" t="inlineStr">
        <is>
          <t>Payback</t>
        </is>
      </c>
      <c r="C55" s="31" t="inlineStr">
        <is>
          <t>The time it takes for profit to repay what was spent.</t>
        </is>
      </c>
    </row>
    <row r="56" ht="16.5" customHeight="1">
      <c r="B56" s="124" t="inlineStr">
        <is>
          <t>NPV</t>
        </is>
      </c>
      <c r="C56" s="31" t="inlineStr">
        <is>
          <t>Net present value: the 10 years of cash, discounted to today's dollars.</t>
        </is>
      </c>
    </row>
    <row r="57" ht="16.5" customHeight="1">
      <c r="B57" s="124" t="inlineStr">
        <is>
          <t>SPLUS, S, D</t>
        </is>
      </c>
      <c r="C57" s="31" t="inlineStr">
        <is>
          <t>Flagship, standard and small store: the same codes as the dashboard.</t>
        </is>
      </c>
    </row>
  </sheetData>
  <pageMargins left="0.75" right="0.75" top="1" bottom="1" header="0.5" footer="0.5"/>
  <pageSetup orientation="landscape" fitToHeight="0" fitToWidth="1"/>
</worksheet>
</file>

<file path=xl/worksheets/sheet11.xml><?xml version="1.0" encoding="utf-8"?>
<worksheet xmlns="http://schemas.openxmlformats.org/spreadsheetml/2006/main">
  <sheetPr>
    <tabColor rgb="00BFBFBF"/>
    <outlinePr summaryBelow="1" summaryRight="1"/>
    <pageSetUpPr/>
  </sheetPr>
  <dimension ref="A1:M8"/>
  <sheetViews>
    <sheetView showGridLines="0" zoomScale="100" workbookViewId="0">
      <selection activeCell="A1" sqref="A1"/>
    </sheetView>
  </sheetViews>
  <sheetFormatPr baseColWidth="8" defaultRowHeight="15"/>
  <cols>
    <col width="26" customWidth="1" min="1" max="1"/>
    <col width="26" customWidth="1" min="2" max="2"/>
    <col width="26" customWidth="1" min="3" max="3"/>
    <col width="26" customWidth="1" min="4" max="4"/>
    <col width="26" customWidth="1" min="5" max="5"/>
    <col width="26" customWidth="1" min="6" max="6"/>
    <col width="26" customWidth="1" min="7" max="7"/>
    <col width="26" customWidth="1" min="8" max="8"/>
    <col width="26" customWidth="1" min="9" max="9"/>
    <col width="26" customWidth="1" min="10" max="10"/>
    <col width="26" customWidth="1" min="11" max="11"/>
    <col width="26" customWidth="1" min="12" max="12"/>
    <col width="26" customWidth="1" min="13" max="13"/>
  </cols>
  <sheetData>
    <row r="1">
      <c r="A1" s="34" t="inlineStr">
        <is>
          <t>Size codes</t>
        </is>
      </c>
      <c r="B1" s="34" t="inlineStr">
        <is>
          <t>Size names</t>
        </is>
      </c>
      <c r="C1" s="34" t="inlineStr">
        <is>
          <t>Recipes</t>
        </is>
      </c>
      <c r="D1" s="34" t="inlineStr">
        <is>
          <t>Recipe letters</t>
        </is>
      </c>
      <c r="E1" s="34" t="inlineStr">
        <is>
          <t>Scale outlooks</t>
        </is>
      </c>
      <c r="F1" s="34" t="inlineStr">
        <is>
          <t>On or off</t>
        </is>
      </c>
      <c r="G1" s="34" t="inlineStr">
        <is>
          <t>Yes or no</t>
        </is>
      </c>
      <c r="H1" s="34" t="inlineStr">
        <is>
          <t>Store sizes come from</t>
        </is>
      </c>
      <c r="I1" s="34" t="inlineStr">
        <is>
          <t>Street for each store</t>
        </is>
      </c>
      <c r="J1" s="34" t="inlineStr">
        <is>
          <t>Supplier deal</t>
        </is>
      </c>
      <c r="K1" s="34" t="inlineStr">
        <is>
          <t>Area units</t>
        </is>
      </c>
      <c r="L1" s="34" t="inlineStr">
        <is>
          <t>Recipe codes</t>
        </is>
      </c>
      <c r="M1" s="34" t="inlineStr">
        <is>
          <t>Buckets</t>
        </is>
      </c>
    </row>
    <row r="2">
      <c r="A2" s="125" t="inlineStr">
        <is>
          <t>SPLUS</t>
        </is>
      </c>
      <c r="B2" s="125" t="inlineStr">
        <is>
          <t>Flagship</t>
        </is>
      </c>
      <c r="C2" s="125" t="inlineStr">
        <is>
          <t>Lean</t>
        </is>
      </c>
      <c r="D2" s="125" t="inlineStr">
        <is>
          <t>L</t>
        </is>
      </c>
      <c r="E2" s="125" t="inlineStr">
        <is>
          <t>Cautious</t>
        </is>
      </c>
      <c r="F2" s="125" t="inlineStr">
        <is>
          <t>ON</t>
        </is>
      </c>
      <c r="G2" s="125" t="inlineStr">
        <is>
          <t>Yes</t>
        </is>
      </c>
      <c r="H2" s="125" t="inlineStr">
        <is>
          <t>Melbourne: dashboard test</t>
        </is>
      </c>
      <c r="I2" s="125" t="inlineStr">
        <is>
          <t>Best streets first</t>
        </is>
      </c>
      <c r="J2" s="125" t="inlineStr">
        <is>
          <t>Pay as you grow</t>
        </is>
      </c>
      <c r="K2" s="125" t="inlineStr">
        <is>
          <t>ft²</t>
        </is>
      </c>
      <c r="L2" s="125" t="inlineStr">
        <is>
          <t>LBS</t>
        </is>
      </c>
      <c r="M2" s="125" t="inlineStr">
        <is>
          <t>Build</t>
        </is>
      </c>
    </row>
    <row r="3">
      <c r="A3" s="125" t="inlineStr">
        <is>
          <t>S</t>
        </is>
      </c>
      <c r="B3" s="125" t="inlineStr">
        <is>
          <t>Standard</t>
        </is>
      </c>
      <c r="C3" s="125" t="inlineStr">
        <is>
          <t>Balanced</t>
        </is>
      </c>
      <c r="D3" s="125" t="inlineStr">
        <is>
          <t>B</t>
        </is>
      </c>
      <c r="E3" s="125" t="inlineStr">
        <is>
          <t>Expected</t>
        </is>
      </c>
      <c r="F3" s="125" t="inlineStr">
        <is>
          <t>OFF</t>
        </is>
      </c>
      <c r="G3" s="125" t="inlineStr">
        <is>
          <t>No</t>
        </is>
      </c>
      <c r="H3" s="125" t="inlineStr">
        <is>
          <t>Melbourne: full store P&amp;L</t>
        </is>
      </c>
      <c r="I3" s="125" t="inlineStr">
        <is>
          <t>Typical street for its size</t>
        </is>
      </c>
      <c r="J3" s="125" t="inlineStr">
        <is>
          <t>Commit to the full plan</t>
        </is>
      </c>
      <c r="K3" s="125" t="inlineStr">
        <is>
          <t>m²</t>
        </is>
      </c>
      <c r="L3" s="125" t="inlineStr">
        <is>
          <t>BS</t>
        </is>
      </c>
      <c r="M3" s="125" t="inlineStr">
        <is>
          <t>Tech</t>
        </is>
      </c>
    </row>
    <row r="4">
      <c r="A4" s="125" t="inlineStr">
        <is>
          <t>D</t>
        </is>
      </c>
      <c r="B4" s="125" t="inlineStr">
        <is>
          <t>Small</t>
        </is>
      </c>
      <c r="C4" s="125" t="inlineStr">
        <is>
          <t>Showcase</t>
        </is>
      </c>
      <c r="D4" s="125" t="inlineStr">
        <is>
          <t>S</t>
        </is>
      </c>
      <c r="E4" s="125" t="inlineStr">
        <is>
          <t>Aggressive</t>
        </is>
      </c>
      <c r="H4" s="125" t="inlineStr">
        <is>
          <t>Melbourne: all 78 streets</t>
        </is>
      </c>
      <c r="L4" s="125" t="inlineStr">
        <is>
          <t>S</t>
        </is>
      </c>
      <c r="M4" s="125" t="inlineStr">
        <is>
          <t>Design</t>
        </is>
      </c>
    </row>
    <row r="5">
      <c r="H5" s="125" t="inlineStr">
        <is>
          <t>Your own mix</t>
        </is>
      </c>
      <c r="L5" s="125" t="inlineStr">
        <is>
          <t>LB</t>
        </is>
      </c>
      <c r="M5" s="125" t="inlineStr">
        <is>
          <t>Business</t>
        </is>
      </c>
    </row>
    <row r="6">
      <c r="L6" s="125" t="inlineStr">
        <is>
          <t>L</t>
        </is>
      </c>
    </row>
    <row r="7">
      <c r="L7" s="125" t="inlineStr">
        <is>
          <t>B</t>
        </is>
      </c>
    </row>
    <row r="8">
      <c r="L8" s="125" t="inlineStr">
        <is>
          <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Sener Can Gunsel</dc:creator>
  <dc:title xmlns:dc="http://purl.org/dc/elements/1.1/">Retail Model Playground</dc:title>
  <dcterms:created xmlns:dcterms="http://purl.org/dc/terms/" xmlns:xsi="http://www.w3.org/2001/XMLSchema-instance" xsi:type="dcterms:W3CDTF">2026-10-23T03:36:28Z</dcterms:created>
  <dcterms:modified xmlns:dcterms="http://purl.org/dc/terms/" xmlns:xsi="http://www.w3.org/2001/XMLSchema-instance" xsi:type="dcterms:W3CDTF">2026-10-23T03:36:29Z</dcterms:modified>
  <cp:lastModifiedBy>Sener Can Gunsel</cp:lastModifiedBy>
</cp:coreProperties>
</file>